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GISTER\RSP\"/>
    </mc:Choice>
  </mc:AlternateContent>
  <xr:revisionPtr revIDLastSave="0" documentId="13_ncr:1_{C9C42052-DFC1-49CD-8B5C-4A83856BC1C3}" xr6:coauthVersionLast="47" xr6:coauthVersionMax="47" xr10:uidLastSave="{00000000-0000-0000-0000-000000000000}"/>
  <bookViews>
    <workbookView xWindow="-120" yWindow="-120" windowWidth="20730" windowHeight="11160" firstSheet="1" activeTab="2" xr2:uid="{A5DCBF32-22B8-4DD3-8753-79AD5D218F79}"/>
  </bookViews>
  <sheets>
    <sheet name="Sheet1" sheetId="1" r:id="rId1"/>
    <sheet name="Sheet2" sheetId="2" r:id="rId2"/>
    <sheet name="Sheet4" sheetId="4" r:id="rId3"/>
    <sheet name="Sheet3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4" l="1"/>
  <c r="F5" i="4"/>
  <c r="D5" i="4"/>
  <c r="M5" i="2"/>
  <c r="G4" i="4"/>
  <c r="F4" i="4"/>
  <c r="G3" i="4"/>
  <c r="F3" i="4"/>
  <c r="D3" i="4"/>
  <c r="G34" i="3"/>
  <c r="H34" i="3"/>
  <c r="I34" i="3"/>
  <c r="J34" i="3"/>
  <c r="D36" i="3"/>
  <c r="F36" i="3"/>
  <c r="G36" i="3"/>
  <c r="H36" i="3"/>
  <c r="I36" i="3"/>
  <c r="J36" i="3"/>
  <c r="D72" i="3"/>
  <c r="F72" i="3"/>
  <c r="G72" i="3"/>
  <c r="H72" i="3"/>
  <c r="I72" i="3"/>
  <c r="J72" i="3"/>
  <c r="J112" i="3"/>
  <c r="J111" i="3"/>
  <c r="J110" i="3"/>
  <c r="J96" i="3"/>
  <c r="J95" i="3"/>
  <c r="J94" i="3"/>
  <c r="J93" i="3"/>
  <c r="J92" i="3"/>
  <c r="J91" i="3"/>
  <c r="J90" i="3"/>
  <c r="J89" i="3"/>
  <c r="J88" i="3"/>
  <c r="J87" i="3"/>
  <c r="J86" i="3"/>
  <c r="J76" i="3"/>
  <c r="J75" i="3"/>
  <c r="J74" i="3"/>
  <c r="J60" i="3"/>
  <c r="J59" i="3"/>
  <c r="J58" i="3"/>
  <c r="J57" i="3"/>
  <c r="J56" i="3"/>
  <c r="J55" i="3"/>
  <c r="J54" i="3"/>
  <c r="J53" i="3"/>
  <c r="J52" i="3"/>
  <c r="J51" i="3"/>
  <c r="J50" i="3"/>
  <c r="J40" i="3"/>
  <c r="J39" i="3"/>
  <c r="J38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5" i="3"/>
  <c r="F100" i="3"/>
  <c r="G100" i="3"/>
  <c r="J100" i="3" s="1"/>
  <c r="H100" i="3"/>
  <c r="I100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38" i="3"/>
  <c r="I39" i="3"/>
  <c r="I40" i="3"/>
  <c r="I50" i="3"/>
  <c r="I51" i="3"/>
  <c r="I52" i="3"/>
  <c r="I53" i="3"/>
  <c r="I54" i="3"/>
  <c r="I55" i="3"/>
  <c r="I56" i="3"/>
  <c r="I57" i="3"/>
  <c r="I58" i="3"/>
  <c r="I59" i="3"/>
  <c r="I60" i="3"/>
  <c r="I74" i="3"/>
  <c r="I75" i="3"/>
  <c r="I76" i="3"/>
  <c r="I86" i="3"/>
  <c r="I87" i="3"/>
  <c r="I88" i="3"/>
  <c r="I89" i="3"/>
  <c r="I90" i="3"/>
  <c r="I91" i="3"/>
  <c r="I92" i="3"/>
  <c r="I93" i="3"/>
  <c r="I94" i="3"/>
  <c r="I95" i="3"/>
  <c r="I96" i="3"/>
  <c r="I110" i="3"/>
  <c r="I111" i="3"/>
  <c r="I112" i="3"/>
  <c r="H5" i="3"/>
  <c r="H6" i="3"/>
  <c r="H7" i="3"/>
  <c r="H8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38" i="3"/>
  <c r="H39" i="3"/>
  <c r="H40" i="3"/>
  <c r="H50" i="3"/>
  <c r="H51" i="3"/>
  <c r="H52" i="3"/>
  <c r="H53" i="3"/>
  <c r="H54" i="3"/>
  <c r="H55" i="3"/>
  <c r="H56" i="3"/>
  <c r="H57" i="3"/>
  <c r="H58" i="3"/>
  <c r="H59" i="3"/>
  <c r="H60" i="3"/>
  <c r="H74" i="3"/>
  <c r="H75" i="3"/>
  <c r="H76" i="3"/>
  <c r="H86" i="3"/>
  <c r="H87" i="3"/>
  <c r="H88" i="3"/>
  <c r="H89" i="3"/>
  <c r="H90" i="3"/>
  <c r="H91" i="3"/>
  <c r="H92" i="3"/>
  <c r="H93" i="3"/>
  <c r="H94" i="3"/>
  <c r="H95" i="3"/>
  <c r="H96" i="3"/>
  <c r="H110" i="3"/>
  <c r="H111" i="3"/>
  <c r="H112" i="3"/>
  <c r="H9" i="3"/>
  <c r="R10" i="2"/>
  <c r="K24" i="2"/>
  <c r="G109" i="3"/>
  <c r="J109" i="3" s="1"/>
  <c r="C109" i="3"/>
  <c r="G108" i="3"/>
  <c r="J108" i="3" s="1"/>
  <c r="F108" i="3"/>
  <c r="D108" i="3"/>
  <c r="I108" i="3" s="1"/>
  <c r="G107" i="3"/>
  <c r="J107" i="3" s="1"/>
  <c r="G106" i="3"/>
  <c r="J106" i="3" s="1"/>
  <c r="G105" i="3"/>
  <c r="E105" i="3"/>
  <c r="J105" i="3" s="1"/>
  <c r="G104" i="3"/>
  <c r="H104" i="3" s="1"/>
  <c r="E104" i="3"/>
  <c r="J104" i="3" s="1"/>
  <c r="D104" i="3"/>
  <c r="I104" i="3" s="1"/>
  <c r="G103" i="3"/>
  <c r="E103" i="3"/>
  <c r="J103" i="3" s="1"/>
  <c r="D103" i="3"/>
  <c r="I103" i="3" s="1"/>
  <c r="C103" i="3"/>
  <c r="G102" i="3"/>
  <c r="J102" i="3" s="1"/>
  <c r="G101" i="3"/>
  <c r="E101" i="3"/>
  <c r="J101" i="3" s="1"/>
  <c r="G99" i="3"/>
  <c r="J99" i="3" s="1"/>
  <c r="G98" i="3"/>
  <c r="J98" i="3" s="1"/>
  <c r="G97" i="3"/>
  <c r="J97" i="3" s="1"/>
  <c r="F97" i="3"/>
  <c r="D97" i="3"/>
  <c r="I97" i="3" s="1"/>
  <c r="G85" i="3"/>
  <c r="J85" i="3" s="1"/>
  <c r="F85" i="3"/>
  <c r="D85" i="3"/>
  <c r="I85" i="3" s="1"/>
  <c r="G84" i="3"/>
  <c r="J84" i="3" s="1"/>
  <c r="F84" i="3"/>
  <c r="G83" i="3"/>
  <c r="J83" i="3" s="1"/>
  <c r="G82" i="3"/>
  <c r="J82" i="3" s="1"/>
  <c r="G81" i="3"/>
  <c r="J81" i="3" s="1"/>
  <c r="F81" i="3"/>
  <c r="G80" i="3"/>
  <c r="F80" i="3"/>
  <c r="E80" i="3"/>
  <c r="J80" i="3" s="1"/>
  <c r="G79" i="3"/>
  <c r="J79" i="3" s="1"/>
  <c r="F79" i="3"/>
  <c r="D79" i="3"/>
  <c r="I79" i="3" s="1"/>
  <c r="G78" i="3"/>
  <c r="E78" i="3"/>
  <c r="J78" i="3" s="1"/>
  <c r="G77" i="3"/>
  <c r="J77" i="3" s="1"/>
  <c r="F77" i="3"/>
  <c r="D77" i="3"/>
  <c r="I77" i="3" s="1"/>
  <c r="G73" i="3"/>
  <c r="E73" i="3"/>
  <c r="J73" i="3" s="1"/>
  <c r="C73" i="3"/>
  <c r="G71" i="3"/>
  <c r="J71" i="3" s="1"/>
  <c r="G70" i="3"/>
  <c r="J70" i="3" s="1"/>
  <c r="D70" i="3"/>
  <c r="I70" i="3" s="1"/>
  <c r="G69" i="3"/>
  <c r="F69" i="3"/>
  <c r="E69" i="3"/>
  <c r="J69" i="3" s="1"/>
  <c r="G68" i="3"/>
  <c r="E68" i="3"/>
  <c r="J68" i="3" s="1"/>
  <c r="D68" i="3"/>
  <c r="I68" i="3" s="1"/>
  <c r="C68" i="3"/>
  <c r="G67" i="3"/>
  <c r="E67" i="3"/>
  <c r="J67" i="3" s="1"/>
  <c r="D67" i="3"/>
  <c r="I67" i="3" s="1"/>
  <c r="C67" i="3"/>
  <c r="G66" i="3"/>
  <c r="J66" i="3" s="1"/>
  <c r="G65" i="3"/>
  <c r="E65" i="3"/>
  <c r="J65" i="3" s="1"/>
  <c r="G64" i="3"/>
  <c r="J64" i="3" s="1"/>
  <c r="F64" i="3"/>
  <c r="G63" i="3"/>
  <c r="J63" i="3" s="1"/>
  <c r="F63" i="3"/>
  <c r="G62" i="3"/>
  <c r="J62" i="3" s="1"/>
  <c r="G61" i="3"/>
  <c r="J61" i="3" s="1"/>
  <c r="F61" i="3"/>
  <c r="G49" i="3"/>
  <c r="J49" i="3" s="1"/>
  <c r="F49" i="3"/>
  <c r="D49" i="3"/>
  <c r="I49" i="3" s="1"/>
  <c r="G48" i="3"/>
  <c r="J48" i="3" s="1"/>
  <c r="F48" i="3"/>
  <c r="G47" i="3"/>
  <c r="J47" i="3" s="1"/>
  <c r="F47" i="3"/>
  <c r="G46" i="3"/>
  <c r="J46" i="3" s="1"/>
  <c r="G45" i="3"/>
  <c r="J45" i="3" s="1"/>
  <c r="F45" i="3"/>
  <c r="G44" i="3"/>
  <c r="F44" i="3"/>
  <c r="E44" i="3"/>
  <c r="J44" i="3" s="1"/>
  <c r="G43" i="3"/>
  <c r="J43" i="3" s="1"/>
  <c r="F43" i="3"/>
  <c r="D43" i="3"/>
  <c r="I43" i="3" s="1"/>
  <c r="G42" i="3"/>
  <c r="J42" i="3" s="1"/>
  <c r="G41" i="3"/>
  <c r="J41" i="3" s="1"/>
  <c r="F41" i="3"/>
  <c r="G37" i="3"/>
  <c r="E37" i="3"/>
  <c r="J37" i="3" s="1"/>
  <c r="G35" i="3"/>
  <c r="J35" i="3" s="1"/>
  <c r="G33" i="3"/>
  <c r="F33" i="3"/>
  <c r="E33" i="3"/>
  <c r="J33" i="3" s="1"/>
  <c r="G32" i="3"/>
  <c r="H32" i="3" s="1"/>
  <c r="E32" i="3"/>
  <c r="J32" i="3" s="1"/>
  <c r="D32" i="3"/>
  <c r="I32" i="3" s="1"/>
  <c r="G31" i="3"/>
  <c r="E31" i="3"/>
  <c r="J31" i="3" s="1"/>
  <c r="D31" i="3"/>
  <c r="I31" i="3" s="1"/>
  <c r="C31" i="3"/>
  <c r="G30" i="3"/>
  <c r="J30" i="3" s="1"/>
  <c r="G29" i="3"/>
  <c r="E29" i="3"/>
  <c r="J29" i="3" s="1"/>
  <c r="G28" i="3"/>
  <c r="J28" i="3" s="1"/>
  <c r="F28" i="3"/>
  <c r="G27" i="3"/>
  <c r="J27" i="3" s="1"/>
  <c r="F27" i="3"/>
  <c r="G26" i="3"/>
  <c r="J26" i="3" s="1"/>
  <c r="D26" i="3"/>
  <c r="I26" i="3" s="1"/>
  <c r="G25" i="3"/>
  <c r="J25" i="3" s="1"/>
  <c r="F25" i="3"/>
  <c r="F12" i="3"/>
  <c r="F11" i="3"/>
  <c r="F9" i="3"/>
  <c r="F8" i="3"/>
  <c r="E8" i="3"/>
  <c r="J8" i="3" s="1"/>
  <c r="F7" i="3"/>
  <c r="E7" i="3"/>
  <c r="J7" i="3" s="1"/>
  <c r="D7" i="3"/>
  <c r="I7" i="3" s="1"/>
  <c r="F6" i="3"/>
  <c r="E6" i="3"/>
  <c r="J6" i="3" s="1"/>
  <c r="D6" i="3"/>
  <c r="I6" i="3" s="1"/>
  <c r="F5" i="3"/>
  <c r="D5" i="3"/>
  <c r="I5" i="3" s="1"/>
  <c r="I25" i="3" l="1"/>
  <c r="H25" i="3"/>
  <c r="H26" i="3"/>
  <c r="I27" i="3"/>
  <c r="H27" i="3"/>
  <c r="I28" i="3"/>
  <c r="H28" i="3"/>
  <c r="I29" i="3"/>
  <c r="H29" i="3"/>
  <c r="I30" i="3"/>
  <c r="H30" i="3"/>
  <c r="H31" i="3"/>
  <c r="I33" i="3"/>
  <c r="H33" i="3"/>
  <c r="I35" i="3"/>
  <c r="H35" i="3"/>
  <c r="I37" i="3"/>
  <c r="H37" i="3"/>
  <c r="I41" i="3"/>
  <c r="H41" i="3"/>
  <c r="I42" i="3"/>
  <c r="H42" i="3"/>
  <c r="H43" i="3"/>
  <c r="I44" i="3"/>
  <c r="H44" i="3"/>
  <c r="I45" i="3"/>
  <c r="H45" i="3"/>
  <c r="I46" i="3"/>
  <c r="H46" i="3"/>
  <c r="I47" i="3"/>
  <c r="H47" i="3"/>
  <c r="I48" i="3"/>
  <c r="H48" i="3"/>
  <c r="H49" i="3"/>
  <c r="I61" i="3"/>
  <c r="H61" i="3"/>
  <c r="I62" i="3"/>
  <c r="H62" i="3"/>
  <c r="I63" i="3"/>
  <c r="H63" i="3"/>
  <c r="I64" i="3"/>
  <c r="H64" i="3"/>
  <c r="I65" i="3"/>
  <c r="H65" i="3"/>
  <c r="I66" i="3"/>
  <c r="H66" i="3"/>
  <c r="H67" i="3"/>
  <c r="H68" i="3"/>
  <c r="I69" i="3"/>
  <c r="H69" i="3"/>
  <c r="H70" i="3"/>
  <c r="I71" i="3"/>
  <c r="H71" i="3"/>
  <c r="I73" i="3"/>
  <c r="H73" i="3"/>
  <c r="H77" i="3"/>
  <c r="I78" i="3"/>
  <c r="H78" i="3"/>
  <c r="H79" i="3"/>
  <c r="I80" i="3"/>
  <c r="H80" i="3"/>
  <c r="I81" i="3"/>
  <c r="H81" i="3"/>
  <c r="I82" i="3"/>
  <c r="H82" i="3"/>
  <c r="I83" i="3"/>
  <c r="H83" i="3"/>
  <c r="I84" i="3"/>
  <c r="H84" i="3"/>
  <c r="H85" i="3"/>
  <c r="H97" i="3"/>
  <c r="I98" i="3"/>
  <c r="H98" i="3"/>
  <c r="I99" i="3"/>
  <c r="H99" i="3"/>
  <c r="I101" i="3"/>
  <c r="H101" i="3"/>
  <c r="I102" i="3"/>
  <c r="H102" i="3"/>
  <c r="H103" i="3"/>
  <c r="I105" i="3"/>
  <c r="H105" i="3"/>
  <c r="I106" i="3"/>
  <c r="H106" i="3"/>
  <c r="I107" i="3"/>
  <c r="H107" i="3"/>
  <c r="H108" i="3"/>
  <c r="I109" i="3"/>
  <c r="H109" i="3"/>
  <c r="Q37" i="2"/>
  <c r="U37" i="2"/>
  <c r="O37" i="2"/>
  <c r="K37" i="2"/>
  <c r="G37" i="2"/>
  <c r="M37" i="2"/>
  <c r="I37" i="2"/>
  <c r="S33" i="2"/>
  <c r="U33" i="2"/>
  <c r="U32" i="2"/>
  <c r="O33" i="2"/>
  <c r="N33" i="2"/>
  <c r="K33" i="2"/>
  <c r="Q33" i="2" s="1"/>
  <c r="M33" i="2"/>
  <c r="H33" i="2"/>
  <c r="G33" i="2"/>
  <c r="I34" i="2"/>
  <c r="I33" i="2"/>
  <c r="R32" i="2"/>
  <c r="S32" i="2"/>
  <c r="O32" i="2"/>
  <c r="K32" i="2"/>
  <c r="L32" i="2"/>
  <c r="M32" i="2"/>
  <c r="I32" i="2"/>
  <c r="F32" i="2"/>
  <c r="G32" i="2"/>
  <c r="U31" i="2"/>
  <c r="R31" i="2"/>
  <c r="S31" i="2"/>
  <c r="Q31" i="2"/>
  <c r="M31" i="2"/>
  <c r="L31" i="2"/>
  <c r="K31" i="2"/>
  <c r="O31" i="2"/>
  <c r="I31" i="2"/>
  <c r="G31" i="2"/>
  <c r="F31" i="2"/>
  <c r="E31" i="2"/>
  <c r="U30" i="2"/>
  <c r="O30" i="2"/>
  <c r="I30" i="2"/>
  <c r="U29" i="2"/>
  <c r="S29" i="2"/>
  <c r="O29" i="2"/>
  <c r="M29" i="2"/>
  <c r="I29" i="2"/>
  <c r="G29" i="2"/>
  <c r="U35" i="2"/>
  <c r="O35" i="2"/>
  <c r="I35" i="2"/>
  <c r="U34" i="2"/>
  <c r="O34" i="2"/>
  <c r="L34" i="2"/>
  <c r="U36" i="2"/>
  <c r="T36" i="2"/>
  <c r="R36" i="2"/>
  <c r="O36" i="2"/>
  <c r="N36" i="2"/>
  <c r="L36" i="2"/>
  <c r="I36" i="2"/>
  <c r="H36" i="2"/>
  <c r="F36" i="2"/>
  <c r="U28" i="2"/>
  <c r="T28" i="2"/>
  <c r="O28" i="2"/>
  <c r="N28" i="2"/>
  <c r="I28" i="2"/>
  <c r="H28" i="2"/>
  <c r="U27" i="2"/>
  <c r="O27" i="2"/>
  <c r="N27" i="2"/>
  <c r="M27" i="2"/>
  <c r="I27" i="2"/>
  <c r="H27" i="2"/>
  <c r="U5" i="1"/>
  <c r="M5" i="1"/>
  <c r="S5" i="2"/>
  <c r="S6" i="1"/>
  <c r="M6" i="1"/>
  <c r="U26" i="2"/>
  <c r="O26" i="2"/>
  <c r="I26" i="2"/>
  <c r="F26" i="2"/>
  <c r="U25" i="2"/>
  <c r="T25" i="2"/>
  <c r="R25" i="2"/>
  <c r="O25" i="2"/>
  <c r="N25" i="2"/>
  <c r="I25" i="2"/>
  <c r="H25" i="2"/>
  <c r="M21" i="2"/>
  <c r="G21" i="2"/>
  <c r="M15" i="2"/>
  <c r="U13" i="2"/>
  <c r="T13" i="2"/>
  <c r="S13" i="2"/>
  <c r="R13" i="2"/>
  <c r="O13" i="2"/>
  <c r="N13" i="2"/>
  <c r="L13" i="2"/>
  <c r="I13" i="2"/>
  <c r="U12" i="2"/>
  <c r="T12" i="2"/>
  <c r="O12" i="2"/>
  <c r="N12" i="2"/>
  <c r="M12" i="2"/>
  <c r="I12" i="2"/>
  <c r="H12" i="2"/>
  <c r="U11" i="2"/>
  <c r="O11" i="2"/>
  <c r="N11" i="2"/>
  <c r="I11" i="2"/>
  <c r="H11" i="2"/>
  <c r="U10" i="2"/>
  <c r="O10" i="2"/>
  <c r="I10" i="2"/>
  <c r="U9" i="2"/>
  <c r="T9" i="2"/>
  <c r="O9" i="2"/>
  <c r="N9" i="2"/>
  <c r="I9" i="2"/>
  <c r="H9" i="2"/>
  <c r="U8" i="2"/>
  <c r="T8" i="2"/>
  <c r="S8" i="2"/>
  <c r="O8" i="2"/>
  <c r="N8" i="2"/>
  <c r="M8" i="2"/>
  <c r="I8" i="2"/>
  <c r="H8" i="2"/>
  <c r="G8" i="2"/>
  <c r="U7" i="2"/>
  <c r="T7" i="2"/>
  <c r="R7" i="2"/>
  <c r="O7" i="2"/>
  <c r="N7" i="2"/>
  <c r="L7" i="2"/>
  <c r="I7" i="2"/>
  <c r="H7" i="2"/>
  <c r="G7" i="2"/>
  <c r="F7" i="2"/>
  <c r="U6" i="2"/>
  <c r="S6" i="2"/>
  <c r="O6" i="2"/>
  <c r="I6" i="2"/>
  <c r="H6" i="2"/>
  <c r="N6" i="2" s="1"/>
  <c r="T6" i="2" s="1"/>
  <c r="G6" i="2"/>
  <c r="M6" i="2" s="1"/>
  <c r="F6" i="2"/>
  <c r="U5" i="2"/>
  <c r="T5" i="2"/>
  <c r="R5" i="2"/>
  <c r="O5" i="2"/>
  <c r="N5" i="2"/>
  <c r="I5" i="2"/>
  <c r="H5" i="2"/>
  <c r="F5" i="2"/>
  <c r="U37" i="1"/>
  <c r="O37" i="1"/>
  <c r="F37" i="1"/>
  <c r="I37" i="1"/>
  <c r="R36" i="1"/>
  <c r="U36" i="1"/>
  <c r="T36" i="1"/>
  <c r="O36" i="1"/>
  <c r="N36" i="1"/>
  <c r="I36" i="1"/>
  <c r="H36" i="1"/>
  <c r="U35" i="1"/>
  <c r="O35" i="1"/>
  <c r="I35" i="1"/>
  <c r="U34" i="1"/>
  <c r="T34" i="1"/>
  <c r="O34" i="1"/>
  <c r="N34" i="1"/>
  <c r="I34" i="1"/>
  <c r="H34" i="1"/>
  <c r="S20" i="1"/>
  <c r="R20" i="1"/>
  <c r="U20" i="1"/>
  <c r="T20" i="1"/>
  <c r="L20" i="1"/>
  <c r="O20" i="1"/>
  <c r="N20" i="1"/>
  <c r="I20" i="1"/>
  <c r="T19" i="1"/>
  <c r="U19" i="1"/>
  <c r="N19" i="1"/>
  <c r="M19" i="1"/>
  <c r="O19" i="1"/>
  <c r="H19" i="1"/>
  <c r="I19" i="1"/>
  <c r="U18" i="1"/>
  <c r="O18" i="1"/>
  <c r="G29" i="1"/>
  <c r="M29" i="1"/>
  <c r="M23" i="1"/>
  <c r="I18" i="1"/>
  <c r="U17" i="1"/>
  <c r="O17" i="1"/>
  <c r="N17" i="1"/>
  <c r="H17" i="1"/>
  <c r="I17" i="1"/>
  <c r="R16" i="1"/>
  <c r="U16" i="1"/>
  <c r="O16" i="1"/>
  <c r="I16" i="1"/>
  <c r="U15" i="1"/>
  <c r="T15" i="1"/>
  <c r="O15" i="1"/>
  <c r="N15" i="1"/>
  <c r="I15" i="1"/>
  <c r="H15" i="1"/>
  <c r="U14" i="1"/>
  <c r="L14" i="1"/>
  <c r="O14" i="1"/>
  <c r="I14" i="1"/>
  <c r="R13" i="1"/>
  <c r="U13" i="1"/>
  <c r="T13" i="1"/>
  <c r="O13" i="1"/>
  <c r="N13" i="1"/>
  <c r="F13" i="1"/>
  <c r="L13" i="1" s="1"/>
  <c r="I13" i="1"/>
  <c r="H13" i="1"/>
  <c r="U12" i="1"/>
  <c r="T12" i="1"/>
  <c r="S12" i="1"/>
  <c r="O12" i="1"/>
  <c r="N12" i="1"/>
  <c r="M12" i="1"/>
  <c r="H12" i="1"/>
  <c r="I12" i="1"/>
  <c r="G12" i="1"/>
  <c r="U11" i="1"/>
  <c r="T11" i="1"/>
  <c r="O11" i="1"/>
  <c r="N11" i="1"/>
  <c r="I11" i="1"/>
  <c r="H11" i="1"/>
  <c r="T10" i="1"/>
  <c r="R10" i="1"/>
  <c r="U10" i="1"/>
  <c r="N10" i="1"/>
  <c r="L10" i="1"/>
  <c r="O10" i="1"/>
  <c r="H10" i="1"/>
  <c r="F10" i="1"/>
  <c r="G10" i="1"/>
  <c r="I10" i="1"/>
  <c r="K33" i="1"/>
  <c r="H9" i="1"/>
  <c r="I9" i="1"/>
  <c r="S8" i="1"/>
  <c r="U6" i="1"/>
  <c r="U8" i="1"/>
  <c r="O8" i="1"/>
  <c r="I8" i="1"/>
  <c r="H8" i="1"/>
  <c r="N8" i="1" s="1"/>
  <c r="T8" i="1" s="1"/>
  <c r="G8" i="1"/>
  <c r="M8" i="1" s="1"/>
  <c r="F8" i="1"/>
  <c r="R7" i="1"/>
  <c r="U7" i="1"/>
  <c r="T7" i="1"/>
  <c r="O7" i="1"/>
  <c r="N7" i="1"/>
  <c r="L7" i="1"/>
  <c r="F7" i="1"/>
  <c r="H7" i="1"/>
  <c r="I7" i="1"/>
  <c r="T6" i="1" l="1"/>
  <c r="R6" i="1"/>
  <c r="N6" i="1"/>
  <c r="H6" i="1"/>
  <c r="O6" i="1"/>
  <c r="I6" i="1"/>
  <c r="F6" i="1"/>
  <c r="O5" i="1"/>
  <c r="N5" i="1"/>
  <c r="I5" i="1"/>
  <c r="H5" i="1"/>
</calcChain>
</file>

<file path=xl/sharedStrings.xml><?xml version="1.0" encoding="utf-8"?>
<sst xmlns="http://schemas.openxmlformats.org/spreadsheetml/2006/main" count="145" uniqueCount="66">
  <si>
    <t>Perusahaan</t>
  </si>
  <si>
    <t>KA</t>
  </si>
  <si>
    <t>KI</t>
  </si>
  <si>
    <t>KM</t>
  </si>
  <si>
    <t>D</t>
  </si>
  <si>
    <t>L</t>
  </si>
  <si>
    <t>Unilever Indonesia Tbk</t>
  </si>
  <si>
    <t>Semen Indonesia Tbk (Persero)</t>
  </si>
  <si>
    <t xml:space="preserve">Tigaraksa Satria Tbk </t>
  </si>
  <si>
    <t>Mandom Indonesia Tbk</t>
  </si>
  <si>
    <t>Tempo Scan Pacific Tbk</t>
  </si>
  <si>
    <t>Tunas Ridean Tbk</t>
  </si>
  <si>
    <t>Selamat Sampurna Tbk</t>
  </si>
  <si>
    <t>Astra Argo Lestari Tbk</t>
  </si>
  <si>
    <t>Telkom Indonesia Tbk (Persero)</t>
  </si>
  <si>
    <t>Hanjaya Mandala Sampoerna Tbk</t>
  </si>
  <si>
    <t>Bank Central Asia Tbk</t>
  </si>
  <si>
    <t>Bank Danamon Indonesia Tbk</t>
  </si>
  <si>
    <t>Indofood Sukses Makmur Tbk</t>
  </si>
  <si>
    <t>Panin Sekuritas Tbk</t>
  </si>
  <si>
    <t>Mayora Indah Tbk</t>
  </si>
  <si>
    <t>Bank Negara Indonesia Tbk (Persero)</t>
  </si>
  <si>
    <t>Arwana Citramulia Tbk</t>
  </si>
  <si>
    <t>Astra Otoparts Tbk</t>
  </si>
  <si>
    <t>Bukit Asam Tbk</t>
  </si>
  <si>
    <t>Kalbe Farma Tbk</t>
  </si>
  <si>
    <t>Astra Graphia Tbk</t>
  </si>
  <si>
    <t>Astra International Tbk</t>
  </si>
  <si>
    <t>AKR Corporindo Tbk</t>
  </si>
  <si>
    <t>Untited tractor Tbk</t>
  </si>
  <si>
    <t>Perusahaan Gas Negara Tbk</t>
  </si>
  <si>
    <t>Bank Rakyat Indonesia Tbk (Persero)</t>
  </si>
  <si>
    <t>Bank Mandiri Tbk (Persero)</t>
  </si>
  <si>
    <t>Adira Dinamika Multi Finance Tbk</t>
  </si>
  <si>
    <t>Jaya Real Property Tbk</t>
  </si>
  <si>
    <t>Darya Varia Laboratoria Tbk</t>
  </si>
  <si>
    <t>Indocement Tunggal Prakasa Tbk</t>
  </si>
  <si>
    <t>Total Bangun Persada Tbk</t>
  </si>
  <si>
    <t>Bank Woori Saudara Indonesia Tbk</t>
  </si>
  <si>
    <t>Indo Tambangraya Megah Tbk</t>
  </si>
  <si>
    <t>Jaya Kontruksi Manggala Pratama Tbk</t>
  </si>
  <si>
    <t>Ace Hardware Indonesia Tbk</t>
  </si>
  <si>
    <t>Asuransi Bina Dana Arta Tbk</t>
  </si>
  <si>
    <t>Adaro Energy Tbk</t>
  </si>
  <si>
    <t>Perusahaan Perkebunan London Sumatra Indonesia Tbk</t>
  </si>
  <si>
    <t>Asuransi Dayin Mitra Tbk</t>
  </si>
  <si>
    <t>Sumber Alfaria Trijaya Tbk</t>
  </si>
  <si>
    <t>NO</t>
  </si>
  <si>
    <t>0,01</t>
  </si>
  <si>
    <t>98,26</t>
  </si>
  <si>
    <t>0,00017</t>
  </si>
  <si>
    <t>37,06</t>
  </si>
  <si>
    <t>34,58</t>
  </si>
  <si>
    <t>0,40</t>
  </si>
  <si>
    <t>0,036</t>
  </si>
  <si>
    <t>0,20</t>
  </si>
  <si>
    <t>0,31</t>
  </si>
  <si>
    <t>PT Asuransi Ramayana</t>
  </si>
  <si>
    <t>PT Wilmar Cahaya Indonesia</t>
  </si>
  <si>
    <t>PT Kino Indonesia</t>
  </si>
  <si>
    <t>KA*L</t>
  </si>
  <si>
    <t>KI*L</t>
  </si>
  <si>
    <t>KM*L</t>
  </si>
  <si>
    <t>,</t>
  </si>
  <si>
    <t>No</t>
  </si>
  <si>
    <t>Jml Pers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</si>
</sst>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00"/>
    <numFmt numFmtId="165" formatCode="0.00000"/>
    <numFmt numFmtId="166" formatCode="0.0000"/>
    <numFmt numFmtId="167" formatCode="0.000"/>
    <numFmt numFmtId="168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0" fillId="2" borderId="0" xfId="0" applyFill="1"/>
    <xf numFmtId="0" fontId="0" fillId="2" borderId="1" xfId="0" applyFill="1" applyBorder="1"/>
    <xf numFmtId="2" fontId="0" fillId="0" borderId="1" xfId="0" applyNumberFormat="1" applyBorder="1" applyAlignment="1">
      <alignment horizontal="right" vertical="center"/>
    </xf>
    <xf numFmtId="2" fontId="0" fillId="2" borderId="1" xfId="0" applyNumberFormat="1" applyFill="1" applyBorder="1" applyAlignment="1">
      <alignment horizontal="right" vertical="center"/>
    </xf>
    <xf numFmtId="2" fontId="0" fillId="0" borderId="0" xfId="0" applyNumberFormat="1" applyAlignment="1">
      <alignment horizontal="right" vertical="center"/>
    </xf>
    <xf numFmtId="2" fontId="0" fillId="0" borderId="0" xfId="0" applyNumberFormat="1" applyAlignment="1">
      <alignment horizontal="right"/>
    </xf>
    <xf numFmtId="2" fontId="0" fillId="0" borderId="2" xfId="0" applyNumberFormat="1" applyFill="1" applyBorder="1" applyAlignment="1">
      <alignment horizontal="right" vertical="center"/>
    </xf>
    <xf numFmtId="167" fontId="0" fillId="0" borderId="1" xfId="0" applyNumberFormat="1" applyBorder="1" applyAlignment="1">
      <alignment horizontal="right" vertical="center"/>
    </xf>
    <xf numFmtId="166" fontId="0" fillId="0" borderId="1" xfId="0" applyNumberFormat="1" applyBorder="1" applyAlignment="1">
      <alignment horizontal="right" vertical="center"/>
    </xf>
    <xf numFmtId="165" fontId="0" fillId="0" borderId="1" xfId="0" applyNumberFormat="1" applyBorder="1" applyAlignment="1">
      <alignment horizontal="right" vertical="center"/>
    </xf>
    <xf numFmtId="164" fontId="0" fillId="0" borderId="1" xfId="0" applyNumberForma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168" fontId="0" fillId="0" borderId="1" xfId="0" applyNumberFormat="1" applyBorder="1" applyAlignment="1">
      <alignment horizontal="right" vertical="center"/>
    </xf>
    <xf numFmtId="166" fontId="0" fillId="2" borderId="1" xfId="0" applyNumberFormat="1" applyFill="1" applyBorder="1" applyAlignment="1">
      <alignment horizontal="right" vertical="center"/>
    </xf>
    <xf numFmtId="165" fontId="0" fillId="2" borderId="1" xfId="0" applyNumberFormat="1" applyFill="1" applyBorder="1" applyAlignment="1">
      <alignment horizontal="right" vertical="center"/>
    </xf>
    <xf numFmtId="164" fontId="0" fillId="2" borderId="1" xfId="0" applyNumberFormat="1" applyFill="1" applyBorder="1" applyAlignment="1">
      <alignment horizontal="right" vertical="center"/>
    </xf>
    <xf numFmtId="168" fontId="0" fillId="2" borderId="1" xfId="0" applyNumberFormat="1" applyFill="1" applyBorder="1" applyAlignment="1">
      <alignment horizontal="right" vertical="center"/>
    </xf>
    <xf numFmtId="167" fontId="0" fillId="2" borderId="1" xfId="0" applyNumberFormat="1" applyFill="1" applyBorder="1" applyAlignment="1">
      <alignment horizontal="right" vertical="center"/>
    </xf>
    <xf numFmtId="2" fontId="0" fillId="2" borderId="2" xfId="0" applyNumberFormat="1" applyFill="1" applyBorder="1" applyAlignment="1">
      <alignment horizontal="right" vertical="center"/>
    </xf>
    <xf numFmtId="166" fontId="0" fillId="2" borderId="0" xfId="0" applyNumberFormat="1" applyFill="1" applyAlignment="1">
      <alignment horizontal="right" vertical="center"/>
    </xf>
    <xf numFmtId="0" fontId="0" fillId="3" borderId="1" xfId="0" applyFill="1" applyBorder="1"/>
    <xf numFmtId="2" fontId="0" fillId="3" borderId="1" xfId="0" applyNumberFormat="1" applyFill="1" applyBorder="1" applyAlignment="1">
      <alignment horizontal="right" vertical="center"/>
    </xf>
    <xf numFmtId="166" fontId="0" fillId="3" borderId="1" xfId="0" applyNumberFormat="1" applyFill="1" applyBorder="1" applyAlignment="1">
      <alignment horizontal="right" vertical="center"/>
    </xf>
    <xf numFmtId="166" fontId="0" fillId="3" borderId="0" xfId="0" applyNumberFormat="1" applyFill="1" applyAlignment="1">
      <alignment horizontal="right" vertical="center"/>
    </xf>
    <xf numFmtId="165" fontId="0" fillId="3" borderId="1" xfId="0" applyNumberFormat="1" applyFill="1" applyBorder="1" applyAlignment="1">
      <alignment horizontal="right" vertical="center"/>
    </xf>
    <xf numFmtId="0" fontId="0" fillId="0" borderId="1" xfId="0" applyFill="1" applyBorder="1"/>
    <xf numFmtId="2" fontId="0" fillId="0" borderId="1" xfId="0" applyNumberFormat="1" applyFill="1" applyBorder="1" applyAlignment="1">
      <alignment horizontal="right" vertical="center"/>
    </xf>
    <xf numFmtId="166" fontId="0" fillId="0" borderId="1" xfId="0" applyNumberFormat="1" applyFill="1" applyBorder="1" applyAlignment="1">
      <alignment horizontal="right" vertical="center"/>
    </xf>
    <xf numFmtId="0" fontId="0" fillId="0" borderId="0" xfId="0" applyFill="1"/>
    <xf numFmtId="168" fontId="0" fillId="0" borderId="1" xfId="0" applyNumberFormat="1" applyFill="1" applyBorder="1" applyAlignment="1">
      <alignment horizontal="right" vertical="center"/>
    </xf>
    <xf numFmtId="166" fontId="0" fillId="2" borderId="0" xfId="0" applyNumberFormat="1" applyFill="1"/>
    <xf numFmtId="2" fontId="0" fillId="0" borderId="1" xfId="0" applyNumberFormat="1" applyBorder="1"/>
    <xf numFmtId="167" fontId="0" fillId="0" borderId="1" xfId="0" applyNumberFormat="1" applyFill="1" applyBorder="1" applyAlignment="1">
      <alignment horizontal="right" vertical="center"/>
    </xf>
    <xf numFmtId="167" fontId="0" fillId="0" borderId="0" xfId="0" applyNumberFormat="1" applyFill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7" fontId="0" fillId="0" borderId="1" xfId="0" applyNumberFormat="1" applyBorder="1"/>
    <xf numFmtId="0" fontId="1" fillId="0" borderId="1" xfId="0" applyFont="1" applyBorder="1"/>
    <xf numFmtId="165" fontId="0" fillId="0" borderId="1" xfId="0" applyNumberFormat="1" applyBorder="1"/>
    <xf numFmtId="0" fontId="1" fillId="0" borderId="1" xfId="0" applyFont="1" applyBorder="1" applyAlignment="1">
      <alignment horizontal="center" vertical="center"/>
    </xf>
    <xf numFmtId="165" fontId="0" fillId="0" borderId="1" xfId="0" applyNumberFormat="1" applyFill="1" applyBorder="1" applyAlignment="1">
      <alignment horizontal="right" vertical="center"/>
    </xf>
    <xf numFmtId="0" fontId="0" fillId="0" borderId="1" xfId="0" applyBorder="1" applyAlignment="1">
      <alignment horizontal="center"/>
    </xf>
    <xf numFmtId="165" fontId="0" fillId="0" borderId="1" xfId="0" applyNumberFormat="1" applyBorder="1" applyAlignment="1">
      <alignment horizontal="right"/>
    </xf>
    <xf numFmtId="165" fontId="0" fillId="0" borderId="1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1383A-BB00-4266-A5A8-BCECF8E3A367}">
  <dimension ref="B3:U47"/>
  <sheetViews>
    <sheetView topLeftCell="B1" zoomScale="80" zoomScaleNormal="80" workbookViewId="0">
      <selection activeCell="B18" sqref="B18:U18"/>
    </sheetView>
  </sheetViews>
  <sheetFormatPr defaultRowHeight="15" x14ac:dyDescent="0.25"/>
  <cols>
    <col min="3" max="3" width="56.7109375" customWidth="1"/>
    <col min="4" max="4" width="1.7109375" style="6" customWidth="1"/>
    <col min="5" max="5" width="9.28515625" bestFit="1" customWidth="1"/>
    <col min="6" max="6" width="10.28515625" customWidth="1"/>
    <col min="7" max="7" width="8.85546875" bestFit="1" customWidth="1"/>
    <col min="8" max="8" width="7.140625" bestFit="1" customWidth="1"/>
    <col min="9" max="9" width="4.85546875" bestFit="1" customWidth="1"/>
    <col min="10" max="10" width="1.7109375" style="6" customWidth="1"/>
    <col min="11" max="11" width="9.28515625" bestFit="1" customWidth="1"/>
    <col min="12" max="13" width="9.85546875" bestFit="1" customWidth="1"/>
    <col min="14" max="14" width="7.140625" bestFit="1" customWidth="1"/>
    <col min="15" max="15" width="4.85546875" bestFit="1" customWidth="1"/>
    <col min="16" max="16" width="1.7109375" style="6" customWidth="1"/>
    <col min="17" max="17" width="10.28515625" bestFit="1" customWidth="1"/>
    <col min="18" max="19" width="9.85546875" bestFit="1" customWidth="1"/>
  </cols>
  <sheetData>
    <row r="3" spans="2:21" x14ac:dyDescent="0.25">
      <c r="B3" s="45" t="s">
        <v>47</v>
      </c>
      <c r="C3" s="45" t="s">
        <v>0</v>
      </c>
      <c r="D3" s="4"/>
      <c r="E3" s="45">
        <v>2018</v>
      </c>
      <c r="F3" s="45"/>
      <c r="G3" s="45"/>
      <c r="H3" s="45"/>
      <c r="I3" s="45"/>
      <c r="J3" s="4"/>
      <c r="K3" s="45">
        <v>2019</v>
      </c>
      <c r="L3" s="45"/>
      <c r="M3" s="45"/>
      <c r="N3" s="45"/>
      <c r="O3" s="45"/>
      <c r="P3" s="4"/>
      <c r="Q3" s="45">
        <v>2020</v>
      </c>
      <c r="R3" s="45"/>
      <c r="S3" s="45"/>
      <c r="T3" s="45"/>
      <c r="U3" s="45"/>
    </row>
    <row r="4" spans="2:21" x14ac:dyDescent="0.25">
      <c r="B4" s="45"/>
      <c r="C4" s="45"/>
      <c r="D4" s="4"/>
      <c r="E4" s="2" t="s">
        <v>1</v>
      </c>
      <c r="F4" s="2" t="s">
        <v>2</v>
      </c>
      <c r="G4" s="2" t="s">
        <v>3</v>
      </c>
      <c r="H4" s="2" t="s">
        <v>4</v>
      </c>
      <c r="I4" s="3" t="s">
        <v>5</v>
      </c>
      <c r="J4" s="5"/>
      <c r="K4" s="2" t="s">
        <v>1</v>
      </c>
      <c r="L4" s="2" t="s">
        <v>2</v>
      </c>
      <c r="M4" s="2" t="s">
        <v>3</v>
      </c>
      <c r="N4" s="2" t="s">
        <v>4</v>
      </c>
      <c r="O4" s="3" t="s">
        <v>5</v>
      </c>
      <c r="P4" s="5"/>
      <c r="Q4" s="2" t="s">
        <v>1</v>
      </c>
      <c r="R4" s="2" t="s">
        <v>2</v>
      </c>
      <c r="S4" s="2" t="s">
        <v>3</v>
      </c>
      <c r="T4" s="2" t="s">
        <v>4</v>
      </c>
      <c r="U4" s="3" t="s">
        <v>5</v>
      </c>
    </row>
    <row r="5" spans="2:21" s="6" customFormat="1" x14ac:dyDescent="0.25">
      <c r="B5" s="7">
        <v>1</v>
      </c>
      <c r="C5" s="7" t="s">
        <v>6</v>
      </c>
      <c r="D5" s="7"/>
      <c r="E5" s="9">
        <v>93.04</v>
      </c>
      <c r="F5" s="9">
        <v>5.81</v>
      </c>
      <c r="G5" s="19">
        <v>1E-4</v>
      </c>
      <c r="H5" s="9">
        <f>460/1194</f>
        <v>0.38525963149078729</v>
      </c>
      <c r="I5" s="9">
        <f>11944837/7578133</f>
        <v>1.576224249429246</v>
      </c>
      <c r="J5" s="9"/>
      <c r="K5" s="9">
        <v>93.1</v>
      </c>
      <c r="L5" s="9">
        <v>5.6</v>
      </c>
      <c r="M5" s="25">
        <f>G5</f>
        <v>1E-4</v>
      </c>
      <c r="N5" s="9">
        <f>775/969</f>
        <v>0.79979360165118674</v>
      </c>
      <c r="O5" s="9">
        <f>15367509/5281862</f>
        <v>2.9094870331712568</v>
      </c>
      <c r="P5" s="9"/>
      <c r="Q5" s="20" t="s">
        <v>48</v>
      </c>
      <c r="R5" s="9" t="s">
        <v>49</v>
      </c>
      <c r="S5" s="9" t="s">
        <v>50</v>
      </c>
      <c r="T5" s="9">
        <v>0.99</v>
      </c>
      <c r="U5" s="9">
        <f>15597/4937</f>
        <v>3.1592059955438527</v>
      </c>
    </row>
    <row r="6" spans="2:21" x14ac:dyDescent="0.25">
      <c r="B6" s="1">
        <v>2</v>
      </c>
      <c r="C6" s="1" t="s">
        <v>7</v>
      </c>
      <c r="D6" s="7"/>
      <c r="E6" s="15" t="s">
        <v>51</v>
      </c>
      <c r="F6" s="8">
        <f>0.0019+0.104+1.509+3.133+0.0001+0.0014</f>
        <v>4.7493999999999996</v>
      </c>
      <c r="G6" s="14">
        <v>5.0000000000000002E-5</v>
      </c>
      <c r="H6" s="10">
        <f>135/519</f>
        <v>0.26011560693641617</v>
      </c>
      <c r="I6" s="8">
        <f>18420/32736</f>
        <v>0.56268328445747806</v>
      </c>
      <c r="J6" s="9"/>
      <c r="K6" s="8">
        <v>35.24</v>
      </c>
      <c r="L6" s="8">
        <v>9.5299999999999994</v>
      </c>
      <c r="M6" s="14">
        <f>G6</f>
        <v>5.0000000000000002E-5</v>
      </c>
      <c r="N6" s="8">
        <f>207/403</f>
        <v>0.51364764267990071</v>
      </c>
      <c r="O6" s="8">
        <f>43.915/33.892</f>
        <v>1.2957335064321962</v>
      </c>
      <c r="P6" s="9"/>
      <c r="Q6" s="15" t="s">
        <v>52</v>
      </c>
      <c r="R6" s="8">
        <f>0.0029+0.095+6.04+4.19+0.0006+0.043+0.00008+0.0014</f>
        <v>10.37298</v>
      </c>
      <c r="S6" s="14">
        <f>G6</f>
        <v>5.0000000000000002E-5</v>
      </c>
      <c r="T6" s="8">
        <f>40.34/471</f>
        <v>8.5647558386411901E-2</v>
      </c>
      <c r="U6" s="8">
        <f>40572/35653</f>
        <v>1.1379687543825203</v>
      </c>
    </row>
    <row r="7" spans="2:21" s="6" customFormat="1" x14ac:dyDescent="0.25">
      <c r="B7" s="7">
        <v>3</v>
      </c>
      <c r="C7" s="7" t="s">
        <v>8</v>
      </c>
      <c r="D7" s="7"/>
      <c r="E7" s="9">
        <v>0.86</v>
      </c>
      <c r="F7" s="9">
        <f>5.11+35.56+30.57+25.34</f>
        <v>96.580000000000013</v>
      </c>
      <c r="G7" s="19">
        <v>2.5000000000000001E-2</v>
      </c>
      <c r="H7" s="9">
        <f>160/482</f>
        <v>0.33195020746887965</v>
      </c>
      <c r="I7" s="9">
        <f>2237/3485</f>
        <v>0.64189383070301287</v>
      </c>
      <c r="J7" s="9"/>
      <c r="K7" s="9">
        <v>0.76</v>
      </c>
      <c r="L7" s="9">
        <f>4.68+36.56+30.57+25.36</f>
        <v>97.17</v>
      </c>
      <c r="M7" s="19">
        <v>2.7E-2</v>
      </c>
      <c r="N7" s="9">
        <f>204/482</f>
        <v>0.42323651452282157</v>
      </c>
      <c r="O7" s="9">
        <f>1603873/2995872</f>
        <v>0.53536099005564985</v>
      </c>
      <c r="P7" s="9"/>
      <c r="Q7" s="20">
        <v>0.86</v>
      </c>
      <c r="R7" s="9">
        <f>5.1+36.56+30.57+25.34</f>
        <v>97.570000000000007</v>
      </c>
      <c r="S7" s="21">
        <v>2.3E-2</v>
      </c>
      <c r="T7" s="9">
        <f>320/715</f>
        <v>0.44755244755244755</v>
      </c>
      <c r="U7" s="9">
        <f>1763284/3361956</f>
        <v>0.52448158155549929</v>
      </c>
    </row>
    <row r="8" spans="2:21" x14ac:dyDescent="0.25">
      <c r="B8" s="1">
        <v>4</v>
      </c>
      <c r="C8" s="1" t="s">
        <v>9</v>
      </c>
      <c r="D8" s="7"/>
      <c r="E8" s="8">
        <v>72.099999999999994</v>
      </c>
      <c r="F8" s="8">
        <f>0.1+8.6</f>
        <v>8.6999999999999993</v>
      </c>
      <c r="G8" s="14">
        <f>253004/201066667</f>
        <v>1.2583090164815832E-3</v>
      </c>
      <c r="H8" s="8">
        <f>420/500</f>
        <v>0.84</v>
      </c>
      <c r="I8" s="8">
        <f>472680346662/2445143511801</f>
        <v>0.19331394839636287</v>
      </c>
      <c r="J8" s="9"/>
      <c r="K8" s="8">
        <v>70.099999999999994</v>
      </c>
      <c r="L8" s="8">
        <v>13.1</v>
      </c>
      <c r="M8" s="14">
        <f>G8</f>
        <v>1.2583090164815832E-3</v>
      </c>
      <c r="N8" s="8">
        <f>H8</f>
        <v>0.84</v>
      </c>
      <c r="O8" s="8">
        <f>532049/2551193</f>
        <v>0.20854909840219851</v>
      </c>
      <c r="P8" s="9"/>
      <c r="Q8" s="15">
        <v>72</v>
      </c>
      <c r="R8" s="8">
        <v>13.2</v>
      </c>
      <c r="S8" s="16">
        <f>273004/201066667</f>
        <v>1.3577785123379004E-3</v>
      </c>
      <c r="T8" s="8">
        <f>N8</f>
        <v>0.84</v>
      </c>
      <c r="U8" s="8">
        <f>448803/2865987</f>
        <v>0.15659631394001439</v>
      </c>
    </row>
    <row r="9" spans="2:21" s="6" customFormat="1" x14ac:dyDescent="0.25">
      <c r="B9" s="7">
        <v>5</v>
      </c>
      <c r="C9" s="7" t="s">
        <v>10</v>
      </c>
      <c r="D9" s="7"/>
      <c r="E9" s="20"/>
      <c r="F9" s="9">
        <v>80.44</v>
      </c>
      <c r="G9" s="19"/>
      <c r="H9" s="9">
        <f>40/1345</f>
        <v>2.9739776951672861E-2</v>
      </c>
      <c r="I9" s="9">
        <f>2437127/7869975</f>
        <v>0.30967404597854503</v>
      </c>
      <c r="J9" s="9"/>
      <c r="K9" s="20"/>
      <c r="L9" s="9">
        <v>80.44</v>
      </c>
      <c r="M9" s="19"/>
      <c r="N9" s="9"/>
      <c r="O9" s="9"/>
      <c r="P9" s="9"/>
      <c r="Q9" s="20"/>
      <c r="R9" s="9"/>
      <c r="S9" s="21"/>
      <c r="T9" s="9"/>
      <c r="U9" s="9"/>
    </row>
    <row r="10" spans="2:21" x14ac:dyDescent="0.25">
      <c r="B10" s="1">
        <v>6</v>
      </c>
      <c r="C10" s="1" t="s">
        <v>14</v>
      </c>
      <c r="D10" s="7"/>
      <c r="E10" s="8">
        <v>36.75</v>
      </c>
      <c r="F10" s="8">
        <f>2.82+2.56+3.2+1.58+0.11+0.87</f>
        <v>11.139999999999999</v>
      </c>
      <c r="G10" s="14">
        <f>8088313/99062216599</f>
        <v>8.1648819072373241E-5</v>
      </c>
      <c r="H10" s="8">
        <f>167/182</f>
        <v>0.91758241758241754</v>
      </c>
      <c r="I10" s="8">
        <f>88893/206196</f>
        <v>0.43110923587266486</v>
      </c>
      <c r="J10" s="9"/>
      <c r="K10" s="8">
        <v>36.93</v>
      </c>
      <c r="L10" s="8">
        <f>3.11+2.86+1.47+0.15+0.58</f>
        <v>8.17</v>
      </c>
      <c r="M10" s="14">
        <v>1E-4</v>
      </c>
      <c r="N10" s="8">
        <f>163/188</f>
        <v>0.86702127659574468</v>
      </c>
      <c r="O10" s="8">
        <f>103958/221208</f>
        <v>0.4699558786300676</v>
      </c>
      <c r="P10" s="9"/>
      <c r="Q10" s="8">
        <v>33.33</v>
      </c>
      <c r="R10" s="8">
        <f>4.92+3.56+3.18+0.36+0.11</f>
        <v>12.129999999999999</v>
      </c>
      <c r="S10" s="14">
        <v>1E-4</v>
      </c>
      <c r="T10" s="8">
        <f>154/210</f>
        <v>0.73333333333333328</v>
      </c>
      <c r="U10" s="8">
        <f>126054/246943</f>
        <v>0.51045787894372385</v>
      </c>
    </row>
    <row r="11" spans="2:21" s="6" customFormat="1" x14ac:dyDescent="0.25">
      <c r="B11" s="7">
        <v>7</v>
      </c>
      <c r="C11" s="7" t="s">
        <v>11</v>
      </c>
      <c r="D11" s="7"/>
      <c r="E11" s="9">
        <v>4.5</v>
      </c>
      <c r="F11" s="9">
        <v>4.5999999999999996</v>
      </c>
      <c r="G11" s="19"/>
      <c r="H11" s="9">
        <f>30/100</f>
        <v>0.3</v>
      </c>
      <c r="I11" s="9">
        <f>1461/4625</f>
        <v>0.31589189189189187</v>
      </c>
      <c r="J11" s="9"/>
      <c r="K11" s="9">
        <v>4.43</v>
      </c>
      <c r="L11" s="9">
        <v>5.17</v>
      </c>
      <c r="M11" s="19"/>
      <c r="N11" s="9">
        <f>26/204</f>
        <v>0.12745098039215685</v>
      </c>
      <c r="O11" s="9">
        <f>2343/6292</f>
        <v>0.3723776223776224</v>
      </c>
      <c r="P11" s="9"/>
      <c r="Q11" s="9">
        <v>4.1539999999999999</v>
      </c>
      <c r="R11" s="9">
        <v>3.37</v>
      </c>
      <c r="S11" s="21"/>
      <c r="T11" s="9">
        <f>7/8</f>
        <v>0.875</v>
      </c>
      <c r="U11" s="9">
        <f>1894/5764</f>
        <v>0.3285912560721721</v>
      </c>
    </row>
    <row r="12" spans="2:21" x14ac:dyDescent="0.25">
      <c r="B12" s="1">
        <v>8</v>
      </c>
      <c r="C12" s="1" t="s">
        <v>12</v>
      </c>
      <c r="D12" s="7"/>
      <c r="E12" s="8">
        <v>18.79</v>
      </c>
      <c r="F12" s="8">
        <v>64.92</v>
      </c>
      <c r="G12" s="13">
        <f>2.25+1.37+2.049+2.29+0.004</f>
        <v>7.9630000000000001</v>
      </c>
      <c r="H12" s="8">
        <f>52/97</f>
        <v>0.53608247422680411</v>
      </c>
      <c r="I12" s="8">
        <f>651/2801</f>
        <v>0.23241699393073903</v>
      </c>
      <c r="J12" s="9"/>
      <c r="K12" s="8">
        <v>22.98</v>
      </c>
      <c r="L12" s="8">
        <v>60.38</v>
      </c>
      <c r="M12" s="13">
        <f>2.257+1.375+2.049+2.298</f>
        <v>7.9790000000000001</v>
      </c>
      <c r="N12" s="8">
        <f>58/100</f>
        <v>0.57999999999999996</v>
      </c>
      <c r="O12" s="8">
        <f>665/2442</f>
        <v>0.27231777231777232</v>
      </c>
      <c r="P12" s="9"/>
      <c r="Q12" s="8">
        <v>23.34</v>
      </c>
      <c r="R12" s="8">
        <v>60.14</v>
      </c>
      <c r="S12" s="8">
        <f>2.25+1.37+2.04+2.29</f>
        <v>7.95</v>
      </c>
      <c r="T12" s="8">
        <f>59/85</f>
        <v>0.69411764705882351</v>
      </c>
      <c r="U12" s="8">
        <f>727/2649</f>
        <v>0.27444318610796525</v>
      </c>
    </row>
    <row r="13" spans="2:21" s="6" customFormat="1" x14ac:dyDescent="0.25">
      <c r="B13" s="7">
        <v>9</v>
      </c>
      <c r="C13" s="7" t="s">
        <v>13</v>
      </c>
      <c r="D13" s="7"/>
      <c r="E13" s="20"/>
      <c r="F13" s="9">
        <f>76.68</f>
        <v>76.680000000000007</v>
      </c>
      <c r="G13" s="19"/>
      <c r="H13" s="9">
        <f>148/747</f>
        <v>0.19812583668005354</v>
      </c>
      <c r="I13" s="9">
        <f>7382445/19474522</f>
        <v>0.37908221829526806</v>
      </c>
      <c r="J13" s="9"/>
      <c r="K13" s="20"/>
      <c r="L13" s="9">
        <f>F13</f>
        <v>76.680000000000007</v>
      </c>
      <c r="M13" s="19"/>
      <c r="N13" s="9">
        <f>112/109</f>
        <v>1.0275229357798166</v>
      </c>
      <c r="O13" s="9">
        <f>7995597/18978527</f>
        <v>0.42129702689781984</v>
      </c>
      <c r="P13" s="9"/>
      <c r="Q13" s="20"/>
      <c r="R13" s="9">
        <f>79.68</f>
        <v>79.680000000000007</v>
      </c>
      <c r="S13" s="21"/>
      <c r="T13" s="9">
        <f>49/432</f>
        <v>0.11342592592592593</v>
      </c>
      <c r="U13" s="9">
        <f>8533437/19247794</f>
        <v>0.44334623489839925</v>
      </c>
    </row>
    <row r="14" spans="2:21" s="6" customFormat="1" x14ac:dyDescent="0.25">
      <c r="B14" s="7">
        <v>10</v>
      </c>
      <c r="C14" s="7" t="s">
        <v>15</v>
      </c>
      <c r="D14" s="7"/>
      <c r="E14" s="9">
        <v>2.38</v>
      </c>
      <c r="F14" s="9">
        <v>96.43</v>
      </c>
      <c r="G14" s="19">
        <v>1E-4</v>
      </c>
      <c r="H14" s="6">
        <v>0.98</v>
      </c>
      <c r="I14" s="9">
        <f>11244/35358</f>
        <v>0.31800441201425422</v>
      </c>
      <c r="J14" s="9"/>
      <c r="K14" s="22">
        <v>2.2999999999999998</v>
      </c>
      <c r="L14" s="9">
        <f>111031021422/116318076900</f>
        <v>0.95454657075748128</v>
      </c>
      <c r="M14" s="19">
        <v>1E-4</v>
      </c>
      <c r="N14" s="9">
        <v>1</v>
      </c>
      <c r="O14" s="9">
        <f>15233/36680</f>
        <v>0.41529443838604146</v>
      </c>
      <c r="P14" s="9"/>
      <c r="Q14" s="9">
        <v>1.28</v>
      </c>
      <c r="R14" s="9">
        <v>94.97</v>
      </c>
      <c r="S14" s="21">
        <v>1E-4</v>
      </c>
      <c r="T14" s="9">
        <v>1.01</v>
      </c>
      <c r="U14" s="9">
        <f>19433/30241</f>
        <v>0.6426044112297874</v>
      </c>
    </row>
    <row r="15" spans="2:21" x14ac:dyDescent="0.25">
      <c r="B15" s="1">
        <v>11</v>
      </c>
      <c r="C15" s="1" t="s">
        <v>16</v>
      </c>
      <c r="D15" s="7"/>
      <c r="E15" s="18">
        <v>7.4</v>
      </c>
      <c r="F15" s="8">
        <v>34.5</v>
      </c>
      <c r="G15" s="8">
        <v>0.19</v>
      </c>
      <c r="H15" s="8">
        <f>255/1049</f>
        <v>0.2430886558627264</v>
      </c>
      <c r="I15" s="8">
        <f>673035/151753</f>
        <v>4.4350688289523106</v>
      </c>
      <c r="J15" s="9"/>
      <c r="K15" s="8">
        <v>34.840000000000003</v>
      </c>
      <c r="L15" s="8">
        <v>6.95</v>
      </c>
      <c r="M15" s="8">
        <v>0.19</v>
      </c>
      <c r="N15" s="8">
        <f>340/1159</f>
        <v>0.29335634167385677</v>
      </c>
      <c r="O15" s="8">
        <f>744846/174143</f>
        <v>4.2772089604520422</v>
      </c>
      <c r="P15" s="9"/>
      <c r="Q15" s="1">
        <v>34.549999999999997</v>
      </c>
      <c r="R15" s="1">
        <v>7.2</v>
      </c>
      <c r="S15" s="1">
        <v>0.18</v>
      </c>
      <c r="T15" s="8">
        <f>340/1100</f>
        <v>0.30909090909090908</v>
      </c>
      <c r="U15" s="8">
        <f>890856/184715</f>
        <v>4.8228676609912569</v>
      </c>
    </row>
    <row r="16" spans="2:21" x14ac:dyDescent="0.25">
      <c r="B16" s="1">
        <v>12</v>
      </c>
      <c r="C16" s="1" t="s">
        <v>17</v>
      </c>
      <c r="D16" s="7"/>
      <c r="E16" s="8">
        <v>92.67</v>
      </c>
      <c r="F16" s="8">
        <v>7.32</v>
      </c>
      <c r="G16" s="8">
        <v>0.03</v>
      </c>
      <c r="H16" s="8">
        <v>0.35</v>
      </c>
      <c r="I16" s="8">
        <f>144822/41940</f>
        <v>3.4530758226037195</v>
      </c>
      <c r="J16" s="9"/>
      <c r="K16" s="8">
        <v>96.04</v>
      </c>
      <c r="L16" s="8">
        <v>2.68</v>
      </c>
      <c r="M16" s="15">
        <v>1.0000000000000001E-5</v>
      </c>
      <c r="N16" s="8">
        <v>0.35</v>
      </c>
      <c r="O16" s="8">
        <f>148117/45417</f>
        <v>3.2612678072087546</v>
      </c>
      <c r="P16" s="9"/>
      <c r="Q16" s="8">
        <v>92.47</v>
      </c>
      <c r="R16" s="8">
        <f>F16</f>
        <v>7.32</v>
      </c>
      <c r="S16" s="15">
        <v>1.0000000000000001E-5</v>
      </c>
      <c r="T16" s="8">
        <v>0.45</v>
      </c>
      <c r="U16" s="8">
        <f>157315/43575</f>
        <v>3.610212277682157</v>
      </c>
    </row>
    <row r="17" spans="2:21" x14ac:dyDescent="0.25">
      <c r="B17" s="1">
        <v>13</v>
      </c>
      <c r="C17" s="1" t="s">
        <v>18</v>
      </c>
      <c r="D17" s="7"/>
      <c r="E17" s="18">
        <v>80.5</v>
      </c>
      <c r="F17" s="8">
        <v>17.52</v>
      </c>
      <c r="G17" s="15">
        <v>1.0000000000000001E-5</v>
      </c>
      <c r="H17" s="8">
        <f>237/474</f>
        <v>0.5</v>
      </c>
      <c r="I17" s="8">
        <f>46621/49916</f>
        <v>0.9339891016908406</v>
      </c>
      <c r="J17" s="9"/>
      <c r="K17" s="8">
        <v>82.66</v>
      </c>
      <c r="L17" s="8">
        <v>15.85</v>
      </c>
      <c r="M17" s="15">
        <v>1.0000000000000001E-5</v>
      </c>
      <c r="N17" s="8">
        <f>0.5</f>
        <v>0.5</v>
      </c>
      <c r="O17" s="8">
        <f>41996/54202</f>
        <v>0.77480535773587689</v>
      </c>
      <c r="P17" s="9"/>
      <c r="Q17" s="8">
        <v>80.290000000000006</v>
      </c>
      <c r="R17" s="8">
        <v>16.350000000000001</v>
      </c>
      <c r="S17" s="13">
        <v>2.1000000000000001E-2</v>
      </c>
      <c r="T17" s="8">
        <v>0.5</v>
      </c>
      <c r="U17" s="8">
        <f>83998/79138</f>
        <v>1.0614117111880512</v>
      </c>
    </row>
    <row r="18" spans="2:21" s="6" customFormat="1" x14ac:dyDescent="0.25">
      <c r="B18" s="7">
        <v>14</v>
      </c>
      <c r="C18" s="7" t="s">
        <v>19</v>
      </c>
      <c r="D18" s="7"/>
      <c r="E18" s="9">
        <v>6.1740000000000004</v>
      </c>
      <c r="F18" s="9">
        <v>69.55</v>
      </c>
      <c r="G18" s="19">
        <v>4.4999999999999997E-3</v>
      </c>
      <c r="H18" s="9">
        <v>0.48</v>
      </c>
      <c r="I18" s="9">
        <f>514/1312</f>
        <v>0.39176829268292684</v>
      </c>
      <c r="J18" s="9"/>
      <c r="K18" s="9">
        <v>5.28</v>
      </c>
      <c r="L18" s="9">
        <v>69.06</v>
      </c>
      <c r="M18" s="36">
        <v>5.0000000000000001E-3</v>
      </c>
      <c r="N18" s="9">
        <v>0.84</v>
      </c>
      <c r="O18" s="9">
        <f>979/1353</f>
        <v>0.72357723577235777</v>
      </c>
      <c r="P18" s="9"/>
      <c r="Q18" s="24">
        <v>2.742</v>
      </c>
      <c r="R18" s="9">
        <v>67.209999999999994</v>
      </c>
      <c r="S18" s="19">
        <v>8.0000000000000002E-3</v>
      </c>
      <c r="T18" s="9">
        <v>0.56000000000000005</v>
      </c>
      <c r="U18" s="9">
        <f>1596/1369</f>
        <v>1.1658144631117604</v>
      </c>
    </row>
    <row r="19" spans="2:21" x14ac:dyDescent="0.25">
      <c r="B19" s="1">
        <v>15</v>
      </c>
      <c r="C19" s="1" t="s">
        <v>20</v>
      </c>
      <c r="D19" s="7"/>
      <c r="E19" s="8">
        <v>8.0399999999999991</v>
      </c>
      <c r="F19" s="8">
        <v>6.89</v>
      </c>
      <c r="G19" s="8">
        <v>25.34</v>
      </c>
      <c r="H19" s="8">
        <f>27/77</f>
        <v>0.35064935064935066</v>
      </c>
      <c r="I19" s="8">
        <f>9049/8543</f>
        <v>1.0592297787662415</v>
      </c>
      <c r="J19" s="9"/>
      <c r="K19" s="8">
        <v>7.81</v>
      </c>
      <c r="L19" s="8">
        <v>6.94</v>
      </c>
      <c r="M19" s="8">
        <f>G19</f>
        <v>25.34</v>
      </c>
      <c r="N19" s="8">
        <f>29/89</f>
        <v>0.3258426966292135</v>
      </c>
      <c r="O19" s="8">
        <f>9137979/9899940</f>
        <v>0.92303377596227854</v>
      </c>
      <c r="P19" s="9"/>
      <c r="Q19" s="8">
        <v>8.6300000000000008</v>
      </c>
      <c r="R19" s="8">
        <v>6.36</v>
      </c>
      <c r="S19" s="8">
        <v>25.23</v>
      </c>
      <c r="T19" s="8">
        <f>30/92</f>
        <v>0.32608695652173914</v>
      </c>
      <c r="U19" s="8">
        <f>8506032/11271468</f>
        <v>0.7546516567318472</v>
      </c>
    </row>
    <row r="20" spans="2:21" x14ac:dyDescent="0.25">
      <c r="B20" s="1">
        <v>16</v>
      </c>
      <c r="C20" s="1" t="s">
        <v>21</v>
      </c>
      <c r="D20" s="7"/>
      <c r="E20" s="8">
        <v>28.84</v>
      </c>
      <c r="F20" s="8">
        <v>11</v>
      </c>
      <c r="G20" s="15">
        <v>1.0000000000000001E-5</v>
      </c>
      <c r="H20" s="8">
        <v>0.35</v>
      </c>
      <c r="I20" s="8">
        <f>698198/110374</f>
        <v>6.3257470056353853</v>
      </c>
      <c r="J20" s="9"/>
      <c r="K20" s="8">
        <v>26.45</v>
      </c>
      <c r="L20" s="8">
        <f>73.55-60-2.02</f>
        <v>11.529999999999998</v>
      </c>
      <c r="M20" s="14">
        <v>2.9999999999999997E-4</v>
      </c>
      <c r="N20" s="8">
        <f>201/809</f>
        <v>0.2484548825710754</v>
      </c>
      <c r="O20" s="8">
        <f>688489/125004</f>
        <v>5.5077357524559218</v>
      </c>
      <c r="P20" s="9"/>
      <c r="Q20" s="8">
        <v>18.53</v>
      </c>
      <c r="R20" s="8">
        <f>81.47-60-6.74</f>
        <v>14.729999999999999</v>
      </c>
      <c r="S20" s="14">
        <f>M20</f>
        <v>2.9999999999999997E-4</v>
      </c>
      <c r="T20" s="8">
        <f>206/176</f>
        <v>1.1704545454545454</v>
      </c>
      <c r="U20" s="8">
        <f>746236/112872</f>
        <v>6.6113473669289107</v>
      </c>
    </row>
    <row r="21" spans="2:21" x14ac:dyDescent="0.25">
      <c r="B21" s="1">
        <v>17</v>
      </c>
      <c r="C21" s="1" t="s">
        <v>22</v>
      </c>
      <c r="D21" s="7"/>
      <c r="E21" s="14">
        <v>8.3000000000000001E-3</v>
      </c>
      <c r="F21" s="8">
        <v>0.55000000000000004</v>
      </c>
      <c r="G21" s="8">
        <v>0.37</v>
      </c>
      <c r="H21" s="8">
        <v>0.96</v>
      </c>
      <c r="I21" s="8">
        <v>0.51</v>
      </c>
      <c r="J21" s="9"/>
      <c r="K21" s="14">
        <v>7.9000000000000008E-3</v>
      </c>
      <c r="L21" s="8">
        <v>0.55000000000000004</v>
      </c>
      <c r="M21" s="8">
        <v>0.37</v>
      </c>
      <c r="N21" s="8">
        <v>1.28</v>
      </c>
      <c r="O21" s="8">
        <v>0.53</v>
      </c>
      <c r="P21" s="9"/>
      <c r="Q21" s="15">
        <v>7.6E-3</v>
      </c>
      <c r="R21" s="8">
        <v>0.55000000000000004</v>
      </c>
      <c r="S21" s="8">
        <v>0.37</v>
      </c>
      <c r="T21" s="8">
        <v>1.76</v>
      </c>
      <c r="U21" s="8">
        <v>0.51</v>
      </c>
    </row>
    <row r="22" spans="2:21" s="6" customFormat="1" x14ac:dyDescent="0.25">
      <c r="B22" s="7">
        <v>18</v>
      </c>
      <c r="C22" s="7" t="s">
        <v>23</v>
      </c>
      <c r="D22" s="7"/>
      <c r="E22" s="20"/>
      <c r="F22" s="9"/>
      <c r="G22" s="19"/>
      <c r="H22" s="9">
        <v>0.36</v>
      </c>
      <c r="I22" s="9">
        <v>0.41</v>
      </c>
      <c r="J22" s="9"/>
      <c r="K22" s="20"/>
      <c r="L22" s="9"/>
      <c r="M22" s="19"/>
      <c r="N22" s="9">
        <v>0.33</v>
      </c>
      <c r="O22" s="9">
        <v>0.37</v>
      </c>
      <c r="P22" s="9"/>
      <c r="Q22" s="20"/>
      <c r="R22" s="9"/>
      <c r="S22" s="21"/>
      <c r="T22" s="9">
        <v>0.4</v>
      </c>
      <c r="U22" s="9">
        <v>0.35</v>
      </c>
    </row>
    <row r="23" spans="2:21" x14ac:dyDescent="0.25">
      <c r="B23" s="1">
        <v>19</v>
      </c>
      <c r="C23" s="1" t="s">
        <v>24</v>
      </c>
      <c r="D23" s="7"/>
      <c r="E23" s="15">
        <v>4.6000000000000001E-4</v>
      </c>
      <c r="F23" s="16">
        <v>1.2E-5</v>
      </c>
      <c r="G23" s="8">
        <v>0.77</v>
      </c>
      <c r="H23" s="8">
        <v>0.67</v>
      </c>
      <c r="I23" s="8">
        <v>0.49</v>
      </c>
      <c r="J23" s="9"/>
      <c r="K23" s="15">
        <v>6.3E-5</v>
      </c>
      <c r="L23" s="8">
        <v>1.03</v>
      </c>
      <c r="M23" s="16">
        <f>S23</f>
        <v>2.5000000000000001E-5</v>
      </c>
      <c r="N23" s="8">
        <v>0.92</v>
      </c>
      <c r="O23" s="8">
        <v>0.67</v>
      </c>
      <c r="P23" s="9"/>
      <c r="Q23" s="15">
        <v>9.3000000000000005E-4</v>
      </c>
      <c r="R23" s="11">
        <v>0.93</v>
      </c>
      <c r="S23" s="16">
        <v>2.5000000000000001E-5</v>
      </c>
      <c r="T23" s="8">
        <v>1.53</v>
      </c>
      <c r="U23" s="8">
        <v>0.42</v>
      </c>
    </row>
    <row r="24" spans="2:21" x14ac:dyDescent="0.25">
      <c r="B24" s="1">
        <v>20</v>
      </c>
      <c r="C24" s="1" t="s">
        <v>25</v>
      </c>
      <c r="D24" s="7"/>
      <c r="E24" s="15">
        <v>3.5E-4</v>
      </c>
      <c r="F24" s="8">
        <v>0.95</v>
      </c>
      <c r="G24" s="14">
        <v>8.0000000000000004E-4</v>
      </c>
      <c r="H24" s="8">
        <v>0.48</v>
      </c>
      <c r="I24" s="8">
        <v>0.19</v>
      </c>
      <c r="J24" s="9"/>
      <c r="K24" s="15">
        <v>3.4000000000000002E-4</v>
      </c>
      <c r="L24" s="12">
        <v>0.95</v>
      </c>
      <c r="M24" s="14">
        <v>2.8E-3</v>
      </c>
      <c r="N24" s="8">
        <v>0.49</v>
      </c>
      <c r="O24" s="8">
        <v>0.21</v>
      </c>
      <c r="P24" s="9"/>
      <c r="Q24" s="15">
        <v>3.8000000000000002E-4</v>
      </c>
      <c r="R24" s="8">
        <v>0.93</v>
      </c>
      <c r="S24" s="14">
        <v>2.8E-3</v>
      </c>
      <c r="T24" s="8">
        <v>0.45</v>
      </c>
      <c r="U24" s="8">
        <v>0.23</v>
      </c>
    </row>
    <row r="25" spans="2:21" x14ac:dyDescent="0.25">
      <c r="B25" s="1">
        <v>21</v>
      </c>
      <c r="C25" s="1" t="s">
        <v>26</v>
      </c>
      <c r="D25" s="7"/>
      <c r="E25" s="13">
        <v>3.2000000000000001E-2</v>
      </c>
      <c r="F25" s="8">
        <v>0.2</v>
      </c>
      <c r="G25" s="8">
        <v>0.77</v>
      </c>
      <c r="H25" s="8">
        <v>0.38</v>
      </c>
      <c r="I25" s="8">
        <v>0.53</v>
      </c>
      <c r="J25" s="9"/>
      <c r="K25" s="14">
        <v>6.9999999999999999E-4</v>
      </c>
      <c r="L25" s="8">
        <v>0.9</v>
      </c>
      <c r="M25" s="8">
        <v>0.77</v>
      </c>
      <c r="N25" s="8">
        <v>0.4</v>
      </c>
      <c r="O25" s="8">
        <v>0.78</v>
      </c>
      <c r="P25" s="9"/>
      <c r="Q25" s="15">
        <v>6.2E-4</v>
      </c>
      <c r="R25" s="8">
        <v>0.87</v>
      </c>
      <c r="S25" s="8">
        <v>0.77</v>
      </c>
      <c r="T25" s="8" t="s">
        <v>53</v>
      </c>
      <c r="U25" s="8">
        <v>0.46</v>
      </c>
    </row>
    <row r="26" spans="2:21" x14ac:dyDescent="0.25">
      <c r="B26" s="1">
        <v>22</v>
      </c>
      <c r="C26" s="1" t="s">
        <v>27</v>
      </c>
      <c r="D26" s="7"/>
      <c r="E26" s="15">
        <v>9.0000000000000006E-5</v>
      </c>
      <c r="F26" s="8">
        <v>1</v>
      </c>
      <c r="G26" s="14">
        <v>4.8999999999999998E-4</v>
      </c>
      <c r="H26" s="8">
        <v>0.4</v>
      </c>
      <c r="I26" s="8">
        <v>0.98</v>
      </c>
      <c r="J26" s="9"/>
      <c r="K26" s="15">
        <v>1.2E-4</v>
      </c>
      <c r="L26" s="8">
        <v>1</v>
      </c>
      <c r="M26" s="14">
        <v>5.8E-4</v>
      </c>
      <c r="N26" s="8">
        <v>0.4</v>
      </c>
      <c r="O26" s="8">
        <v>0.88</v>
      </c>
      <c r="P26" s="9"/>
      <c r="Q26" s="15">
        <v>1.8000000000000001E-4</v>
      </c>
      <c r="R26" s="8">
        <v>1</v>
      </c>
      <c r="S26" s="15">
        <v>5.8E-4</v>
      </c>
      <c r="T26" s="8">
        <v>0.28999999999999998</v>
      </c>
      <c r="U26" s="8">
        <v>0.73</v>
      </c>
    </row>
    <row r="27" spans="2:21" x14ac:dyDescent="0.25">
      <c r="B27" s="1">
        <v>23</v>
      </c>
      <c r="C27" s="1" t="s">
        <v>28</v>
      </c>
      <c r="D27" s="7"/>
      <c r="E27" s="15">
        <v>1.97E-3</v>
      </c>
      <c r="F27" s="8">
        <v>0.96</v>
      </c>
      <c r="G27" s="14">
        <v>6.7000000000000002E-3</v>
      </c>
      <c r="H27" s="8">
        <v>0.67</v>
      </c>
      <c r="I27" s="8">
        <v>1.01</v>
      </c>
      <c r="J27" s="9"/>
      <c r="K27" s="15">
        <v>2.6800000000000001E-3</v>
      </c>
      <c r="L27" s="8">
        <v>0.96</v>
      </c>
      <c r="M27" s="14">
        <v>6.7000000000000002E-3</v>
      </c>
      <c r="N27" s="8">
        <v>0.59</v>
      </c>
      <c r="O27" s="8">
        <v>1.1299999999999999</v>
      </c>
      <c r="P27" s="9"/>
      <c r="Q27" s="15">
        <v>2.5799999999999998E-3</v>
      </c>
      <c r="R27" s="8">
        <v>0.93</v>
      </c>
      <c r="S27" s="15">
        <v>6.62E-3</v>
      </c>
      <c r="T27" s="8">
        <v>0.62</v>
      </c>
      <c r="U27" s="8">
        <v>0.77</v>
      </c>
    </row>
    <row r="28" spans="2:21" x14ac:dyDescent="0.25">
      <c r="B28" s="1">
        <v>24</v>
      </c>
      <c r="C28" s="1" t="s">
        <v>29</v>
      </c>
      <c r="D28" s="7"/>
      <c r="E28" s="15">
        <v>1.4999999999999999E-4</v>
      </c>
      <c r="F28" s="8">
        <v>1</v>
      </c>
      <c r="G28" s="14">
        <v>5.2999999999999998E-4</v>
      </c>
      <c r="H28" s="8">
        <v>0.4</v>
      </c>
      <c r="I28" s="8">
        <v>1.04</v>
      </c>
      <c r="J28" s="9"/>
      <c r="K28" s="15">
        <v>1.3999999999999999E-4</v>
      </c>
      <c r="L28" s="8">
        <v>0.97</v>
      </c>
      <c r="M28" s="14">
        <v>1.1000000000000001E-3</v>
      </c>
      <c r="N28" s="8">
        <v>0.4</v>
      </c>
      <c r="O28" s="8">
        <v>0.83</v>
      </c>
      <c r="P28" s="9"/>
      <c r="Q28" s="15">
        <v>1.6000000000000001E-4</v>
      </c>
      <c r="R28" s="8">
        <v>0.74</v>
      </c>
      <c r="S28" s="16">
        <v>3.4999999999999997E-5</v>
      </c>
      <c r="T28" s="8">
        <v>0.4</v>
      </c>
      <c r="U28" s="8">
        <v>0.57999999999999996</v>
      </c>
    </row>
    <row r="29" spans="2:21" x14ac:dyDescent="0.25">
      <c r="B29" s="1">
        <v>25</v>
      </c>
      <c r="C29" s="1" t="s">
        <v>30</v>
      </c>
      <c r="D29" s="7"/>
      <c r="E29" s="15">
        <v>2.1000000000000001E-4</v>
      </c>
      <c r="F29" s="8">
        <v>0.73</v>
      </c>
      <c r="G29" s="16">
        <f>S29</f>
        <v>1.2999999999999999E-5</v>
      </c>
      <c r="H29" s="8">
        <v>28</v>
      </c>
      <c r="I29" s="8">
        <v>1.48</v>
      </c>
      <c r="J29" s="9"/>
      <c r="K29" s="15">
        <v>1.7000000000000001E-4</v>
      </c>
      <c r="L29" s="8">
        <v>0.74</v>
      </c>
      <c r="M29" s="16">
        <f>S29</f>
        <v>1.2999999999999999E-5</v>
      </c>
      <c r="N29" s="8">
        <v>32</v>
      </c>
      <c r="O29" s="8">
        <v>1.28</v>
      </c>
      <c r="P29" s="9"/>
      <c r="Q29" s="15">
        <v>3.4000000000000002E-4</v>
      </c>
      <c r="R29" s="8">
        <v>0.74</v>
      </c>
      <c r="S29" s="16">
        <v>1.2999999999999999E-5</v>
      </c>
      <c r="T29" s="8">
        <v>100</v>
      </c>
      <c r="U29" s="8">
        <v>1.55</v>
      </c>
    </row>
    <row r="30" spans="2:21" x14ac:dyDescent="0.25">
      <c r="B30" s="1">
        <v>26</v>
      </c>
      <c r="C30" s="1" t="s">
        <v>31</v>
      </c>
      <c r="D30" s="7"/>
      <c r="E30" s="15">
        <v>3.6999999999999999E-4</v>
      </c>
      <c r="F30" s="8">
        <v>0.99</v>
      </c>
      <c r="G30" s="14">
        <v>1.2999999999999999E-3</v>
      </c>
      <c r="H30" s="8">
        <v>48</v>
      </c>
      <c r="I30" s="8">
        <v>6</v>
      </c>
      <c r="J30" s="9"/>
      <c r="K30" s="15">
        <v>3.1300000000000002E-4</v>
      </c>
      <c r="L30" s="8">
        <v>0.99</v>
      </c>
      <c r="M30" s="14">
        <v>2.9999999999999997E-4</v>
      </c>
      <c r="N30" s="8">
        <v>50</v>
      </c>
      <c r="O30" s="8">
        <v>4.91</v>
      </c>
      <c r="P30" s="9"/>
      <c r="Q30" s="15">
        <v>1.15E-4</v>
      </c>
      <c r="R30" s="8">
        <v>0.98</v>
      </c>
      <c r="S30" s="15">
        <v>1.98E-3</v>
      </c>
      <c r="T30" s="8">
        <v>60</v>
      </c>
      <c r="U30" s="8">
        <v>6.39</v>
      </c>
    </row>
    <row r="31" spans="2:21" x14ac:dyDescent="0.25">
      <c r="B31" s="1">
        <v>27</v>
      </c>
      <c r="C31" s="1" t="s">
        <v>32</v>
      </c>
      <c r="D31" s="7"/>
      <c r="E31" s="15">
        <v>4.0000000000000003E-5</v>
      </c>
      <c r="F31" s="8">
        <v>0.99</v>
      </c>
      <c r="G31" s="14">
        <v>4.0000000000000002E-4</v>
      </c>
      <c r="H31" s="8">
        <v>45</v>
      </c>
      <c r="I31" s="8">
        <v>5.09</v>
      </c>
      <c r="J31" s="9"/>
      <c r="K31" s="15">
        <v>9.0000000000000006E-5</v>
      </c>
      <c r="L31" s="8">
        <v>0.99</v>
      </c>
      <c r="M31" s="14">
        <v>2.4000000000000001E-4</v>
      </c>
      <c r="N31" s="8">
        <v>45</v>
      </c>
      <c r="O31" s="8">
        <v>4.91</v>
      </c>
      <c r="P31" s="9"/>
      <c r="Q31" s="15">
        <v>1.2E-4</v>
      </c>
      <c r="R31" s="8">
        <v>0.98</v>
      </c>
      <c r="S31" s="16">
        <v>2.5000000000000001E-4</v>
      </c>
      <c r="T31" s="8">
        <v>60</v>
      </c>
      <c r="U31" s="8">
        <v>5.94</v>
      </c>
    </row>
    <row r="32" spans="2:21" s="6" customFormat="1" x14ac:dyDescent="0.25">
      <c r="B32" s="7">
        <v>28</v>
      </c>
      <c r="C32" s="7" t="s">
        <v>33</v>
      </c>
      <c r="D32" s="7"/>
      <c r="E32" s="20"/>
      <c r="F32" s="9">
        <v>0.92</v>
      </c>
      <c r="G32" s="19"/>
      <c r="H32" s="9">
        <v>50</v>
      </c>
      <c r="I32" s="9">
        <v>3.48</v>
      </c>
      <c r="J32" s="9"/>
      <c r="K32" s="20">
        <v>3.0200000000000001E-2</v>
      </c>
      <c r="L32" s="9">
        <v>0.94</v>
      </c>
      <c r="M32" s="19"/>
      <c r="N32" s="9">
        <v>50</v>
      </c>
      <c r="O32" s="9">
        <v>3.35</v>
      </c>
      <c r="P32" s="9"/>
      <c r="Q32" s="20">
        <v>4.8000000000000001E-4</v>
      </c>
      <c r="R32" s="9">
        <v>0.06</v>
      </c>
      <c r="S32" s="21"/>
      <c r="T32" s="9">
        <v>50</v>
      </c>
      <c r="U32" s="9">
        <v>3.69</v>
      </c>
    </row>
    <row r="33" spans="2:21" x14ac:dyDescent="0.25">
      <c r="B33" s="1">
        <v>29</v>
      </c>
      <c r="C33" s="1" t="s">
        <v>34</v>
      </c>
      <c r="D33" s="7"/>
      <c r="E33" s="15">
        <v>0.10036</v>
      </c>
      <c r="F33" s="8">
        <v>0.77</v>
      </c>
      <c r="G33" s="14">
        <v>2.545E-2</v>
      </c>
      <c r="H33" s="8">
        <v>32.1</v>
      </c>
      <c r="I33" s="8">
        <v>0.56999999999999995</v>
      </c>
      <c r="J33" s="9"/>
      <c r="K33" s="15">
        <f>E33</f>
        <v>0.10036</v>
      </c>
      <c r="L33" s="8">
        <v>0.78</v>
      </c>
      <c r="M33" s="14">
        <v>2.545E-2</v>
      </c>
      <c r="N33" s="8">
        <v>31.94</v>
      </c>
      <c r="O33" s="8">
        <v>0.51</v>
      </c>
      <c r="P33" s="9"/>
      <c r="Q33" s="15">
        <v>7.4291999999999997E-2</v>
      </c>
      <c r="R33" s="8">
        <v>0.78</v>
      </c>
      <c r="S33" s="16">
        <v>4.15E-4</v>
      </c>
      <c r="T33" s="8">
        <v>32.450000000000003</v>
      </c>
      <c r="U33" s="8">
        <v>0.46</v>
      </c>
    </row>
    <row r="34" spans="2:21" s="6" customFormat="1" x14ac:dyDescent="0.25">
      <c r="B34" s="7">
        <v>30</v>
      </c>
      <c r="C34" s="7" t="s">
        <v>35</v>
      </c>
      <c r="D34" s="7"/>
      <c r="E34" s="9">
        <v>4.3</v>
      </c>
      <c r="F34" s="9">
        <v>93.19</v>
      </c>
      <c r="G34" s="9">
        <v>2.5</v>
      </c>
      <c r="H34" s="9">
        <f>105/180</f>
        <v>0.58333333333333337</v>
      </c>
      <c r="I34" s="9">
        <f>482559876/1200261863</f>
        <v>0.40204549596690803</v>
      </c>
      <c r="J34" s="9"/>
      <c r="K34" s="9">
        <v>4.32</v>
      </c>
      <c r="L34" s="9">
        <v>93.28</v>
      </c>
      <c r="M34" s="9">
        <v>2.52</v>
      </c>
      <c r="N34" s="9">
        <f>107/198</f>
        <v>0.54040404040404044</v>
      </c>
      <c r="O34" s="9">
        <f>523881726/1306078988</f>
        <v>0.40111029333855264</v>
      </c>
      <c r="P34" s="9"/>
      <c r="Q34" s="9">
        <v>4.32</v>
      </c>
      <c r="R34" s="9">
        <v>93.35</v>
      </c>
      <c r="S34" s="21">
        <v>2.4</v>
      </c>
      <c r="T34" s="9">
        <f>107/145</f>
        <v>0.73793103448275865</v>
      </c>
      <c r="U34" s="9">
        <f>660424729/1326287143</f>
        <v>0.49795003479122169</v>
      </c>
    </row>
    <row r="35" spans="2:21" s="6" customFormat="1" x14ac:dyDescent="0.25">
      <c r="B35" s="7">
        <v>31</v>
      </c>
      <c r="C35" s="7" t="s">
        <v>36</v>
      </c>
      <c r="D35" s="7"/>
      <c r="E35" s="20"/>
      <c r="F35" s="9">
        <v>92.39</v>
      </c>
      <c r="G35" s="19"/>
      <c r="H35" s="9" t="s">
        <v>54</v>
      </c>
      <c r="I35" s="9">
        <f>4567/23222</f>
        <v>0.1966669537507536</v>
      </c>
      <c r="J35" s="9"/>
      <c r="K35" s="20"/>
      <c r="L35" s="9">
        <v>90.86</v>
      </c>
      <c r="M35" s="19"/>
      <c r="N35" s="23">
        <v>4.8000000000000001E-2</v>
      </c>
      <c r="O35" s="9">
        <f>4627/23080</f>
        <v>0.20047660311958407</v>
      </c>
      <c r="P35" s="9"/>
      <c r="Q35" s="20"/>
      <c r="R35" s="9"/>
      <c r="S35" s="21"/>
      <c r="T35" s="9">
        <v>2.9000000000000001E-2</v>
      </c>
      <c r="U35" s="9">
        <f>5168/22176</f>
        <v>0.23304473304473305</v>
      </c>
    </row>
    <row r="36" spans="2:21" x14ac:dyDescent="0.25">
      <c r="B36" s="1">
        <v>32</v>
      </c>
      <c r="C36" s="1" t="s">
        <v>37</v>
      </c>
      <c r="D36" s="7"/>
      <c r="E36" s="8">
        <v>14.94</v>
      </c>
      <c r="F36" s="8">
        <v>10.5</v>
      </c>
      <c r="G36" s="8">
        <v>1.84</v>
      </c>
      <c r="H36" s="8">
        <f>50/61</f>
        <v>0.81967213114754101</v>
      </c>
      <c r="I36" s="8">
        <f>2176607/1052111</f>
        <v>2.0687997749286908</v>
      </c>
      <c r="J36" s="9"/>
      <c r="K36" s="8">
        <v>14.26</v>
      </c>
      <c r="L36" s="8">
        <v>10.83</v>
      </c>
      <c r="M36" s="8">
        <v>1.86</v>
      </c>
      <c r="N36" s="8">
        <f>40/51</f>
        <v>0.78431372549019607</v>
      </c>
      <c r="O36" s="8">
        <f>1886089/1076904</f>
        <v>1.7513993819319085</v>
      </c>
      <c r="P36" s="9"/>
      <c r="Q36" s="8">
        <v>12.66</v>
      </c>
      <c r="R36" s="8">
        <f>20.21-11.43</f>
        <v>8.7800000000000011</v>
      </c>
      <c r="S36" s="8">
        <v>1.88</v>
      </c>
      <c r="T36" s="8">
        <f>10/32</f>
        <v>0.3125</v>
      </c>
      <c r="U36" s="8">
        <f>1749896/1139164</f>
        <v>1.5361229814144408</v>
      </c>
    </row>
    <row r="37" spans="2:21" x14ac:dyDescent="0.25">
      <c r="B37" s="1">
        <v>33</v>
      </c>
      <c r="C37" s="1" t="s">
        <v>38</v>
      </c>
      <c r="D37" s="7"/>
      <c r="E37" s="8">
        <v>79.930000000000007</v>
      </c>
      <c r="F37" s="8">
        <f>30.07-22.97</f>
        <v>7.1000000000000014</v>
      </c>
      <c r="G37" s="8">
        <v>0.09</v>
      </c>
      <c r="H37" s="8">
        <v>0.22</v>
      </c>
      <c r="I37" s="8">
        <f>23081225/6550468</f>
        <v>3.5235993825174017</v>
      </c>
      <c r="J37" s="9"/>
      <c r="K37" s="8">
        <v>79.930000000000007</v>
      </c>
      <c r="L37" s="8">
        <v>11.29</v>
      </c>
      <c r="M37" s="8">
        <v>0.03</v>
      </c>
      <c r="N37" s="8">
        <v>0.18</v>
      </c>
      <c r="O37" s="8">
        <f>30000671/6935590</f>
        <v>4.3256119522636141</v>
      </c>
      <c r="P37" s="9"/>
      <c r="Q37" s="8">
        <v>80.06</v>
      </c>
      <c r="R37" s="8">
        <v>8.17</v>
      </c>
      <c r="S37" s="8">
        <v>0.03</v>
      </c>
      <c r="T37" s="8">
        <v>0.17</v>
      </c>
      <c r="U37" s="8">
        <f>30782968/7270971</f>
        <v>4.2336804809151349</v>
      </c>
    </row>
    <row r="38" spans="2:21" x14ac:dyDescent="0.25">
      <c r="B38" s="1">
        <v>34</v>
      </c>
      <c r="C38" s="1" t="s">
        <v>39</v>
      </c>
      <c r="D38" s="7"/>
      <c r="E38" s="15"/>
      <c r="F38" s="8"/>
      <c r="G38" s="14"/>
      <c r="H38" s="8"/>
      <c r="I38" s="8"/>
      <c r="J38" s="9"/>
      <c r="K38" s="15"/>
      <c r="L38" s="8"/>
      <c r="M38" s="14"/>
      <c r="N38" s="8"/>
      <c r="O38" s="8"/>
      <c r="P38" s="9"/>
      <c r="Q38" s="15"/>
      <c r="R38" s="8"/>
      <c r="S38" s="16"/>
      <c r="T38" s="8"/>
      <c r="U38" s="8"/>
    </row>
    <row r="39" spans="2:21" x14ac:dyDescent="0.25">
      <c r="B39" s="1">
        <v>35</v>
      </c>
      <c r="C39" s="1" t="s">
        <v>40</v>
      </c>
      <c r="D39" s="7"/>
      <c r="E39" s="15"/>
      <c r="F39" s="8"/>
      <c r="G39" s="14"/>
      <c r="H39" s="8"/>
      <c r="I39" s="8"/>
      <c r="J39" s="9"/>
      <c r="K39" s="15"/>
      <c r="L39" s="8"/>
      <c r="M39" s="14"/>
      <c r="N39" s="8"/>
      <c r="O39" s="8"/>
      <c r="P39" s="9"/>
      <c r="Q39" s="15"/>
      <c r="R39" s="8"/>
      <c r="S39" s="16"/>
      <c r="T39" s="8"/>
      <c r="U39" s="8"/>
    </row>
    <row r="40" spans="2:21" x14ac:dyDescent="0.25">
      <c r="B40" s="1">
        <v>36</v>
      </c>
      <c r="C40" s="1" t="s">
        <v>41</v>
      </c>
      <c r="D40" s="7"/>
      <c r="E40" s="15"/>
      <c r="F40" s="8"/>
      <c r="G40" s="14"/>
      <c r="H40" s="8"/>
      <c r="I40" s="8"/>
      <c r="J40" s="9"/>
      <c r="K40" s="15"/>
      <c r="L40" s="8"/>
      <c r="M40" s="14"/>
      <c r="N40" s="8"/>
      <c r="O40" s="8"/>
      <c r="P40" s="9"/>
      <c r="Q40" s="15"/>
      <c r="R40" s="8"/>
      <c r="S40" s="16"/>
      <c r="T40" s="8"/>
      <c r="U40" s="8"/>
    </row>
    <row r="41" spans="2:21" x14ac:dyDescent="0.25">
      <c r="B41" s="1">
        <v>37</v>
      </c>
      <c r="C41" s="1" t="s">
        <v>42</v>
      </c>
      <c r="D41" s="7"/>
      <c r="E41" s="15"/>
      <c r="F41" s="8"/>
      <c r="G41" s="14"/>
      <c r="H41" s="8"/>
      <c r="I41" s="8"/>
      <c r="J41" s="9"/>
      <c r="K41" s="15"/>
      <c r="L41" s="8"/>
      <c r="M41" s="14"/>
      <c r="N41" s="8"/>
      <c r="O41" s="8"/>
      <c r="P41" s="9"/>
      <c r="Q41" s="15"/>
      <c r="R41" s="8"/>
      <c r="S41" s="16"/>
      <c r="T41" s="8"/>
      <c r="U41" s="8"/>
    </row>
    <row r="42" spans="2:21" x14ac:dyDescent="0.25">
      <c r="B42" s="1">
        <v>38</v>
      </c>
      <c r="C42" s="1" t="s">
        <v>43</v>
      </c>
      <c r="D42" s="7"/>
      <c r="E42" s="15"/>
      <c r="F42" s="8"/>
      <c r="G42" s="14"/>
      <c r="H42" s="8"/>
      <c r="I42" s="8"/>
      <c r="J42" s="9"/>
      <c r="K42" s="15"/>
      <c r="L42" s="8"/>
      <c r="M42" s="14"/>
      <c r="N42" s="8"/>
      <c r="O42" s="8"/>
      <c r="P42" s="9"/>
      <c r="Q42" s="15"/>
      <c r="R42" s="8"/>
      <c r="S42" s="16"/>
      <c r="T42" s="8"/>
      <c r="U42" s="8"/>
    </row>
    <row r="43" spans="2:21" x14ac:dyDescent="0.25">
      <c r="B43" s="1">
        <v>39</v>
      </c>
      <c r="C43" s="1" t="s">
        <v>44</v>
      </c>
      <c r="D43" s="7"/>
      <c r="E43" s="15"/>
      <c r="F43" s="8"/>
      <c r="G43" s="14"/>
      <c r="H43" s="8"/>
      <c r="I43" s="8"/>
      <c r="J43" s="9"/>
      <c r="K43" s="15"/>
      <c r="L43" s="8"/>
      <c r="M43" s="14"/>
      <c r="N43" s="8"/>
      <c r="O43" s="8"/>
      <c r="P43" s="9"/>
      <c r="Q43" s="15"/>
      <c r="R43" s="8"/>
      <c r="S43" s="16"/>
      <c r="T43" s="8"/>
      <c r="U43" s="8"/>
    </row>
    <row r="44" spans="2:21" x14ac:dyDescent="0.25">
      <c r="B44" s="1">
        <v>40</v>
      </c>
      <c r="C44" s="1" t="s">
        <v>45</v>
      </c>
      <c r="D44" s="7"/>
      <c r="E44" s="15"/>
      <c r="F44" s="8"/>
      <c r="G44" s="14"/>
      <c r="H44" s="8"/>
      <c r="I44" s="8"/>
      <c r="J44" s="9"/>
      <c r="K44" s="15"/>
      <c r="L44" s="8"/>
      <c r="M44" s="14"/>
      <c r="N44" s="8"/>
      <c r="O44" s="8"/>
      <c r="P44" s="9"/>
      <c r="Q44" s="15"/>
      <c r="R44" s="8"/>
      <c r="S44" s="16"/>
      <c r="T44" s="8"/>
      <c r="U44" s="8"/>
    </row>
    <row r="45" spans="2:21" x14ac:dyDescent="0.25">
      <c r="B45" s="1">
        <v>41</v>
      </c>
      <c r="C45" s="1" t="s">
        <v>46</v>
      </c>
      <c r="D45" s="7"/>
      <c r="E45" s="15"/>
      <c r="F45" s="8"/>
      <c r="G45" s="14"/>
      <c r="H45" s="8"/>
      <c r="I45" s="8"/>
      <c r="J45" s="9"/>
      <c r="K45" s="15"/>
      <c r="L45" s="8"/>
      <c r="M45" s="14"/>
      <c r="N45" s="8"/>
      <c r="O45" s="8"/>
      <c r="P45" s="9"/>
      <c r="Q45" s="15"/>
      <c r="R45" s="8"/>
      <c r="S45" s="16"/>
      <c r="T45" s="8"/>
      <c r="U45" s="8"/>
    </row>
    <row r="46" spans="2:21" x14ac:dyDescent="0.25">
      <c r="B46" s="1"/>
      <c r="C46" s="1"/>
      <c r="D46" s="7"/>
      <c r="E46" s="15"/>
      <c r="F46" s="8"/>
      <c r="G46" s="14"/>
      <c r="H46" s="8"/>
      <c r="I46" s="8"/>
      <c r="J46" s="9"/>
      <c r="K46" s="15"/>
      <c r="L46" s="8"/>
      <c r="M46" s="14"/>
      <c r="N46" s="8"/>
      <c r="O46" s="8"/>
      <c r="P46" s="9"/>
      <c r="Q46" s="15"/>
      <c r="R46" s="8"/>
      <c r="S46" s="16"/>
      <c r="T46" s="8"/>
      <c r="U46" s="8"/>
    </row>
    <row r="47" spans="2:21" x14ac:dyDescent="0.25">
      <c r="B47" s="1"/>
      <c r="C47" s="1"/>
      <c r="D47" s="7"/>
      <c r="E47" s="15"/>
      <c r="F47" s="8"/>
      <c r="G47" s="14"/>
      <c r="H47" s="8"/>
      <c r="I47" s="8"/>
      <c r="J47" s="9"/>
      <c r="K47" s="15"/>
      <c r="L47" s="8"/>
      <c r="M47" s="14"/>
      <c r="N47" s="8"/>
      <c r="O47" s="8"/>
      <c r="P47" s="9"/>
      <c r="Q47" s="15"/>
      <c r="R47" s="8"/>
      <c r="S47" s="16"/>
      <c r="T47" s="8"/>
      <c r="U47" s="8"/>
    </row>
  </sheetData>
  <mergeCells count="5">
    <mergeCell ref="E3:I3"/>
    <mergeCell ref="C3:C4"/>
    <mergeCell ref="B3:B4"/>
    <mergeCell ref="K3:O3"/>
    <mergeCell ref="Q3:U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0A7BF9-1C33-4062-9DAC-41899532D69E}">
  <dimension ref="B3:U44"/>
  <sheetViews>
    <sheetView topLeftCell="C19" zoomScale="80" zoomScaleNormal="80" workbookViewId="0">
      <selection activeCell="Q40" activeCellId="2" sqref="E40:I40 K40:O40 Q40:U40"/>
    </sheetView>
  </sheetViews>
  <sheetFormatPr defaultRowHeight="15" x14ac:dyDescent="0.25"/>
  <cols>
    <col min="3" max="3" width="57.42578125" bestFit="1" customWidth="1"/>
    <col min="4" max="4" width="2.42578125" customWidth="1"/>
    <col min="10" max="10" width="2.28515625" customWidth="1"/>
    <col min="16" max="16" width="2.28515625" customWidth="1"/>
    <col min="19" max="19" width="10.28515625" bestFit="1" customWidth="1"/>
  </cols>
  <sheetData>
    <row r="3" spans="2:21" x14ac:dyDescent="0.25">
      <c r="B3" s="45" t="s">
        <v>47</v>
      </c>
      <c r="C3" s="45" t="s">
        <v>0</v>
      </c>
      <c r="D3" s="4"/>
      <c r="E3" s="45">
        <v>2018</v>
      </c>
      <c r="F3" s="45"/>
      <c r="G3" s="45"/>
      <c r="H3" s="45"/>
      <c r="I3" s="45"/>
      <c r="J3" s="4"/>
      <c r="K3" s="45">
        <v>2019</v>
      </c>
      <c r="L3" s="45"/>
      <c r="M3" s="45"/>
      <c r="N3" s="45"/>
      <c r="O3" s="45"/>
      <c r="P3" s="4"/>
      <c r="Q3" s="45">
        <v>2020</v>
      </c>
      <c r="R3" s="45"/>
      <c r="S3" s="45"/>
      <c r="T3" s="45"/>
      <c r="U3" s="45"/>
    </row>
    <row r="4" spans="2:21" x14ac:dyDescent="0.25">
      <c r="B4" s="45"/>
      <c r="C4" s="45"/>
      <c r="D4" s="4"/>
      <c r="E4" s="17" t="s">
        <v>1</v>
      </c>
      <c r="F4" s="17" t="s">
        <v>2</v>
      </c>
      <c r="G4" s="17" t="s">
        <v>3</v>
      </c>
      <c r="H4" s="17" t="s">
        <v>4</v>
      </c>
      <c r="I4" s="3" t="s">
        <v>5</v>
      </c>
      <c r="J4" s="5"/>
      <c r="K4" s="17" t="s">
        <v>1</v>
      </c>
      <c r="L4" s="17" t="s">
        <v>2</v>
      </c>
      <c r="M4" s="17" t="s">
        <v>3</v>
      </c>
      <c r="N4" s="17" t="s">
        <v>4</v>
      </c>
      <c r="O4" s="3" t="s">
        <v>5</v>
      </c>
      <c r="P4" s="5"/>
      <c r="Q4" s="17" t="s">
        <v>1</v>
      </c>
      <c r="R4" s="17" t="s">
        <v>2</v>
      </c>
      <c r="S4" s="17" t="s">
        <v>3</v>
      </c>
      <c r="T4" s="17" t="s">
        <v>4</v>
      </c>
      <c r="U4" s="3" t="s">
        <v>5</v>
      </c>
    </row>
    <row r="5" spans="2:21" x14ac:dyDescent="0.25">
      <c r="B5" s="1">
        <v>1</v>
      </c>
      <c r="C5" s="1" t="s">
        <v>7</v>
      </c>
      <c r="D5" s="7"/>
      <c r="E5" s="15" t="s">
        <v>51</v>
      </c>
      <c r="F5" s="8">
        <f>0.0019+0.104+1.509+3.133+0.0001+0.0014</f>
        <v>4.7493999999999996</v>
      </c>
      <c r="G5" s="14">
        <v>5.0000000000000002E-5</v>
      </c>
      <c r="H5" s="10">
        <f>135/519</f>
        <v>0.26011560693641617</v>
      </c>
      <c r="I5" s="8">
        <f>18420/32736</f>
        <v>0.56268328445747806</v>
      </c>
      <c r="J5" s="9"/>
      <c r="K5" s="8">
        <v>35.24</v>
      </c>
      <c r="L5" s="8">
        <v>9.5299999999999994</v>
      </c>
      <c r="M5" s="14">
        <f>G5</f>
        <v>5.0000000000000002E-5</v>
      </c>
      <c r="N5" s="8">
        <f>207/403</f>
        <v>0.51364764267990071</v>
      </c>
      <c r="O5" s="8">
        <f>43.915/33.892</f>
        <v>1.2957335064321962</v>
      </c>
      <c r="P5" s="9"/>
      <c r="Q5" s="15" t="s">
        <v>52</v>
      </c>
      <c r="R5" s="8">
        <f>0.0029+0.095+6.04+4.19+0.0006+0.043+0.00008+0.0014</f>
        <v>10.37298</v>
      </c>
      <c r="S5" s="14">
        <f>M5</f>
        <v>5.0000000000000002E-5</v>
      </c>
      <c r="T5" s="8">
        <f>40.34/471</f>
        <v>8.5647558386411901E-2</v>
      </c>
      <c r="U5" s="8">
        <f>40572/35653</f>
        <v>1.1379687543825203</v>
      </c>
    </row>
    <row r="6" spans="2:21" x14ac:dyDescent="0.25">
      <c r="B6" s="1">
        <v>2</v>
      </c>
      <c r="C6" s="1" t="s">
        <v>9</v>
      </c>
      <c r="D6" s="7"/>
      <c r="E6" s="8">
        <v>72.099999999999994</v>
      </c>
      <c r="F6" s="8">
        <f>0.1+8.6</f>
        <v>8.6999999999999993</v>
      </c>
      <c r="G6" s="14">
        <f>253004/201066667</f>
        <v>1.2583090164815832E-3</v>
      </c>
      <c r="H6" s="8">
        <f>420/500</f>
        <v>0.84</v>
      </c>
      <c r="I6" s="8">
        <f>472680346662/2445143511801</f>
        <v>0.19331394839636287</v>
      </c>
      <c r="J6" s="9"/>
      <c r="K6" s="8">
        <v>70.099999999999994</v>
      </c>
      <c r="L6" s="8">
        <v>13.1</v>
      </c>
      <c r="M6" s="14">
        <f>G6</f>
        <v>1.2583090164815832E-3</v>
      </c>
      <c r="N6" s="8">
        <f>H6</f>
        <v>0.84</v>
      </c>
      <c r="O6" s="8">
        <f>532049/2551193</f>
        <v>0.20854909840219851</v>
      </c>
      <c r="P6" s="9"/>
      <c r="Q6" s="8">
        <v>72</v>
      </c>
      <c r="R6" s="8">
        <v>13.2</v>
      </c>
      <c r="S6" s="15">
        <f>273004/201066667</f>
        <v>1.3577785123379004E-3</v>
      </c>
      <c r="T6" s="8">
        <f>N6</f>
        <v>0.84</v>
      </c>
      <c r="U6" s="8">
        <f>448803/2865987</f>
        <v>0.15659631394001439</v>
      </c>
    </row>
    <row r="7" spans="2:21" x14ac:dyDescent="0.25">
      <c r="B7" s="1">
        <v>3</v>
      </c>
      <c r="C7" s="1" t="s">
        <v>14</v>
      </c>
      <c r="D7" s="7"/>
      <c r="E7" s="8">
        <v>36.75</v>
      </c>
      <c r="F7" s="8">
        <f>2.82+2.56+3.2+1.58+0.11+0.87</f>
        <v>11.139999999999999</v>
      </c>
      <c r="G7" s="14">
        <f>8088313/99062216599</f>
        <v>8.1648819072373241E-5</v>
      </c>
      <c r="H7" s="8">
        <f>167/182</f>
        <v>0.91758241758241754</v>
      </c>
      <c r="I7" s="8">
        <f>88893/206196</f>
        <v>0.43110923587266486</v>
      </c>
      <c r="J7" s="9"/>
      <c r="K7" s="8">
        <v>36.93</v>
      </c>
      <c r="L7" s="8">
        <f>3.11+2.86+1.47+0.15+0.58</f>
        <v>8.17</v>
      </c>
      <c r="M7" s="14">
        <v>1E-4</v>
      </c>
      <c r="N7" s="8">
        <f>163/188</f>
        <v>0.86702127659574468</v>
      </c>
      <c r="O7" s="8">
        <f>103958/221208</f>
        <v>0.4699558786300676</v>
      </c>
      <c r="P7" s="9"/>
      <c r="Q7" s="8">
        <v>33.33</v>
      </c>
      <c r="R7" s="8">
        <f>4.92+3.56+3.18+0.36+0.11</f>
        <v>12.129999999999999</v>
      </c>
      <c r="S7" s="14">
        <v>1E-4</v>
      </c>
      <c r="T7" s="8">
        <f>154/210</f>
        <v>0.73333333333333328</v>
      </c>
      <c r="U7" s="8">
        <f>126054/246943</f>
        <v>0.51045787894372385</v>
      </c>
    </row>
    <row r="8" spans="2:21" x14ac:dyDescent="0.25">
      <c r="B8" s="1">
        <v>4</v>
      </c>
      <c r="C8" s="1" t="s">
        <v>12</v>
      </c>
      <c r="D8" s="7"/>
      <c r="E8" s="8">
        <v>18.79</v>
      </c>
      <c r="F8" s="8">
        <v>64.92</v>
      </c>
      <c r="G8" s="13">
        <f>2.25+1.37+2.049+2.29+0.004</f>
        <v>7.9630000000000001</v>
      </c>
      <c r="H8" s="8">
        <f>52/97</f>
        <v>0.53608247422680411</v>
      </c>
      <c r="I8" s="8">
        <f>651/2801</f>
        <v>0.23241699393073903</v>
      </c>
      <c r="J8" s="9"/>
      <c r="K8" s="8">
        <v>22.98</v>
      </c>
      <c r="L8" s="8">
        <v>60.38</v>
      </c>
      <c r="M8" s="13">
        <f>2.257+1.375+2.049+2.298</f>
        <v>7.9790000000000001</v>
      </c>
      <c r="N8" s="8">
        <f>58/100</f>
        <v>0.57999999999999996</v>
      </c>
      <c r="O8" s="8">
        <f>665/2442</f>
        <v>0.27231777231777232</v>
      </c>
      <c r="P8" s="9"/>
      <c r="Q8" s="8">
        <v>23.34</v>
      </c>
      <c r="R8" s="8">
        <v>60.14</v>
      </c>
      <c r="S8" s="8">
        <f>2.25+1.37+2.04+2.29</f>
        <v>7.95</v>
      </c>
      <c r="T8" s="8">
        <f>59/85</f>
        <v>0.69411764705882351</v>
      </c>
      <c r="U8" s="8">
        <f>727/2649</f>
        <v>0.27444318610796525</v>
      </c>
    </row>
    <row r="9" spans="2:21" x14ac:dyDescent="0.25">
      <c r="B9" s="1">
        <v>5</v>
      </c>
      <c r="C9" s="1" t="s">
        <v>16</v>
      </c>
      <c r="D9" s="7"/>
      <c r="E9" s="18">
        <v>7.4</v>
      </c>
      <c r="F9" s="8">
        <v>34.5</v>
      </c>
      <c r="G9" s="8">
        <v>0.19</v>
      </c>
      <c r="H9" s="8">
        <f>255/1049</f>
        <v>0.2430886558627264</v>
      </c>
      <c r="I9" s="8">
        <f>673035/151753</f>
        <v>4.4350688289523106</v>
      </c>
      <c r="J9" s="9"/>
      <c r="K9" s="8">
        <v>34.840000000000003</v>
      </c>
      <c r="L9" s="8">
        <v>6.95</v>
      </c>
      <c r="M9" s="8">
        <v>0.19</v>
      </c>
      <c r="N9" s="8">
        <f>340/1159</f>
        <v>0.29335634167385677</v>
      </c>
      <c r="O9" s="8">
        <f>744846/174143</f>
        <v>4.2772089604520422</v>
      </c>
      <c r="P9" s="9"/>
      <c r="Q9" s="1">
        <v>34.549999999999997</v>
      </c>
      <c r="R9" s="1">
        <v>7.2</v>
      </c>
      <c r="S9" s="1">
        <v>0.18</v>
      </c>
      <c r="T9" s="8">
        <f>340/1100</f>
        <v>0.30909090909090908</v>
      </c>
      <c r="U9" s="8">
        <f>890856/184715</f>
        <v>4.8228676609912569</v>
      </c>
    </row>
    <row r="10" spans="2:21" x14ac:dyDescent="0.25">
      <c r="B10" s="1">
        <v>6</v>
      </c>
      <c r="C10" s="1" t="s">
        <v>17</v>
      </c>
      <c r="D10" s="7"/>
      <c r="E10" s="8">
        <v>92.67</v>
      </c>
      <c r="F10" s="8">
        <v>7.32</v>
      </c>
      <c r="G10" s="8">
        <v>0.03</v>
      </c>
      <c r="H10" s="8">
        <v>0.35</v>
      </c>
      <c r="I10" s="8">
        <f>144822/41940</f>
        <v>3.4530758226037195</v>
      </c>
      <c r="J10" s="9"/>
      <c r="K10" s="8">
        <v>96.04</v>
      </c>
      <c r="L10" s="8">
        <v>2.68</v>
      </c>
      <c r="M10" s="15">
        <v>1.0000000000000001E-5</v>
      </c>
      <c r="N10" s="8">
        <v>0.35</v>
      </c>
      <c r="O10" s="8">
        <f>148117/45417</f>
        <v>3.2612678072087546</v>
      </c>
      <c r="P10" s="9"/>
      <c r="Q10" s="8">
        <v>92.47</v>
      </c>
      <c r="R10" s="8">
        <f>F10</f>
        <v>7.32</v>
      </c>
      <c r="S10" s="15">
        <v>1.0000000000000001E-5</v>
      </c>
      <c r="T10" s="8">
        <v>0.45</v>
      </c>
      <c r="U10" s="8">
        <f>157315/43575</f>
        <v>3.610212277682157</v>
      </c>
    </row>
    <row r="11" spans="2:21" x14ac:dyDescent="0.25">
      <c r="B11" s="1">
        <v>7</v>
      </c>
      <c r="C11" s="1" t="s">
        <v>18</v>
      </c>
      <c r="D11" s="7"/>
      <c r="E11" s="18">
        <v>80.5</v>
      </c>
      <c r="F11" s="8">
        <v>17.52</v>
      </c>
      <c r="G11" s="15">
        <v>1.0000000000000001E-5</v>
      </c>
      <c r="H11" s="8">
        <f>237/474</f>
        <v>0.5</v>
      </c>
      <c r="I11" s="8">
        <f>46621/49916</f>
        <v>0.9339891016908406</v>
      </c>
      <c r="J11" s="9"/>
      <c r="K11" s="8">
        <v>82.66</v>
      </c>
      <c r="L11" s="8">
        <v>15.85</v>
      </c>
      <c r="M11" s="15">
        <v>1.0000000000000001E-5</v>
      </c>
      <c r="N11" s="8">
        <f>0.5</f>
        <v>0.5</v>
      </c>
      <c r="O11" s="8">
        <f>41996/54202</f>
        <v>0.77480535773587689</v>
      </c>
      <c r="P11" s="9"/>
      <c r="Q11" s="8">
        <v>80.290000000000006</v>
      </c>
      <c r="R11" s="8">
        <v>16.350000000000001</v>
      </c>
      <c r="S11" s="13">
        <v>2.1000000000000001E-2</v>
      </c>
      <c r="T11" s="8">
        <v>0.5</v>
      </c>
      <c r="U11" s="8">
        <f>83998/79138</f>
        <v>1.0614117111880512</v>
      </c>
    </row>
    <row r="12" spans="2:21" x14ac:dyDescent="0.25">
      <c r="B12" s="1">
        <v>8</v>
      </c>
      <c r="C12" s="1" t="s">
        <v>20</v>
      </c>
      <c r="D12" s="7"/>
      <c r="E12" s="8">
        <v>8.0399999999999991</v>
      </c>
      <c r="F12" s="8">
        <v>6.89</v>
      </c>
      <c r="G12" s="8">
        <v>25.34</v>
      </c>
      <c r="H12" s="8">
        <f>27/77</f>
        <v>0.35064935064935066</v>
      </c>
      <c r="I12" s="8">
        <f>9049/8543</f>
        <v>1.0592297787662415</v>
      </c>
      <c r="J12" s="9"/>
      <c r="K12" s="8">
        <v>7.81</v>
      </c>
      <c r="L12" s="8">
        <v>6.94</v>
      </c>
      <c r="M12" s="8">
        <f>G12</f>
        <v>25.34</v>
      </c>
      <c r="N12" s="8">
        <f>29/89</f>
        <v>0.3258426966292135</v>
      </c>
      <c r="O12" s="8">
        <f>9137979/9899940</f>
        <v>0.92303377596227854</v>
      </c>
      <c r="P12" s="9"/>
      <c r="Q12" s="8">
        <v>8.6300000000000008</v>
      </c>
      <c r="R12" s="8">
        <v>6.36</v>
      </c>
      <c r="S12" s="8">
        <v>25.23</v>
      </c>
      <c r="T12" s="8">
        <f>30/92</f>
        <v>0.32608695652173914</v>
      </c>
      <c r="U12" s="8">
        <f>8506032/11271468</f>
        <v>0.7546516567318472</v>
      </c>
    </row>
    <row r="13" spans="2:21" x14ac:dyDescent="0.25">
      <c r="B13" s="1">
        <v>9</v>
      </c>
      <c r="C13" s="1" t="s">
        <v>21</v>
      </c>
      <c r="D13" s="7"/>
      <c r="E13" s="8">
        <v>28.84</v>
      </c>
      <c r="F13" s="8">
        <v>11</v>
      </c>
      <c r="G13" s="15">
        <v>1.0000000000000001E-5</v>
      </c>
      <c r="H13" s="8">
        <v>0.35</v>
      </c>
      <c r="I13" s="8">
        <f>698198/110374</f>
        <v>6.3257470056353853</v>
      </c>
      <c r="J13" s="9"/>
      <c r="K13" s="8">
        <v>26.45</v>
      </c>
      <c r="L13" s="8">
        <f>73.55-60-2.02</f>
        <v>11.529999999999998</v>
      </c>
      <c r="M13" s="14">
        <v>2.9999999999999997E-4</v>
      </c>
      <c r="N13" s="8">
        <f>201/809</f>
        <v>0.2484548825710754</v>
      </c>
      <c r="O13" s="8">
        <f>688489/125004</f>
        <v>5.5077357524559218</v>
      </c>
      <c r="P13" s="9"/>
      <c r="Q13" s="8">
        <v>18.53</v>
      </c>
      <c r="R13" s="8">
        <f>81.47-60-6.74</f>
        <v>14.729999999999999</v>
      </c>
      <c r="S13" s="14">
        <f>M13</f>
        <v>2.9999999999999997E-4</v>
      </c>
      <c r="T13" s="8">
        <f>206/176</f>
        <v>1.1704545454545454</v>
      </c>
      <c r="U13" s="8">
        <f>746236/112872</f>
        <v>6.6113473669289107</v>
      </c>
    </row>
    <row r="14" spans="2:21" x14ac:dyDescent="0.25">
      <c r="B14" s="1">
        <v>10</v>
      </c>
      <c r="C14" s="1" t="s">
        <v>22</v>
      </c>
      <c r="D14" s="7"/>
      <c r="E14" s="15">
        <v>8.3000000000000001E-3</v>
      </c>
      <c r="F14" s="8">
        <v>0.55000000000000004</v>
      </c>
      <c r="G14" s="8">
        <v>0.37</v>
      </c>
      <c r="H14" s="8">
        <v>0.96</v>
      </c>
      <c r="I14" s="8">
        <v>0.51</v>
      </c>
      <c r="J14" s="9"/>
      <c r="K14" s="14">
        <v>7.9000000000000008E-3</v>
      </c>
      <c r="L14" s="8">
        <v>0.55000000000000004</v>
      </c>
      <c r="M14" s="8">
        <v>0.37</v>
      </c>
      <c r="N14" s="8">
        <v>1.28</v>
      </c>
      <c r="O14" s="8">
        <v>0.53</v>
      </c>
      <c r="P14" s="9"/>
      <c r="Q14" s="15">
        <v>7.6E-3</v>
      </c>
      <c r="R14" s="8">
        <v>0.55000000000000004</v>
      </c>
      <c r="S14" s="8">
        <v>0.37</v>
      </c>
      <c r="T14" s="8">
        <v>1.76</v>
      </c>
      <c r="U14" s="8">
        <v>0.51</v>
      </c>
    </row>
    <row r="15" spans="2:21" x14ac:dyDescent="0.25">
      <c r="B15" s="1">
        <v>11</v>
      </c>
      <c r="C15" s="1" t="s">
        <v>24</v>
      </c>
      <c r="D15" s="7"/>
      <c r="E15" s="15">
        <v>4.6000000000000001E-4</v>
      </c>
      <c r="F15" s="16">
        <v>1.2E-5</v>
      </c>
      <c r="G15" s="8">
        <v>0.77</v>
      </c>
      <c r="H15" s="8">
        <v>0.67</v>
      </c>
      <c r="I15" s="8">
        <v>0.49</v>
      </c>
      <c r="J15" s="9"/>
      <c r="K15" s="15">
        <v>6.3E-5</v>
      </c>
      <c r="L15" s="8">
        <v>1.03</v>
      </c>
      <c r="M15" s="16">
        <f>S15</f>
        <v>2.5000000000000001E-5</v>
      </c>
      <c r="N15" s="8">
        <v>0.92</v>
      </c>
      <c r="O15" s="8">
        <v>0.67</v>
      </c>
      <c r="P15" s="9"/>
      <c r="Q15" s="15">
        <v>9.3000000000000005E-4</v>
      </c>
      <c r="R15" s="11">
        <v>0.93</v>
      </c>
      <c r="S15" s="16">
        <v>2.5000000000000001E-5</v>
      </c>
      <c r="T15" s="8">
        <v>1.53</v>
      </c>
      <c r="U15" s="8">
        <v>0.42</v>
      </c>
    </row>
    <row r="16" spans="2:21" x14ac:dyDescent="0.25">
      <c r="B16" s="1">
        <v>12</v>
      </c>
      <c r="C16" s="1" t="s">
        <v>25</v>
      </c>
      <c r="D16" s="7"/>
      <c r="E16" s="15">
        <v>3.5E-4</v>
      </c>
      <c r="F16" s="8">
        <v>0.95</v>
      </c>
      <c r="G16" s="14">
        <v>8.0000000000000004E-4</v>
      </c>
      <c r="H16" s="8">
        <v>0.48</v>
      </c>
      <c r="I16" s="8">
        <v>0.19</v>
      </c>
      <c r="J16" s="9"/>
      <c r="K16" s="15">
        <v>3.4000000000000002E-4</v>
      </c>
      <c r="L16" s="12">
        <v>0.95</v>
      </c>
      <c r="M16" s="14">
        <v>2.8E-3</v>
      </c>
      <c r="N16" s="8">
        <v>0.49</v>
      </c>
      <c r="O16" s="8">
        <v>0.21</v>
      </c>
      <c r="P16" s="9"/>
      <c r="Q16" s="15">
        <v>3.8000000000000002E-4</v>
      </c>
      <c r="R16" s="8">
        <v>0.93</v>
      </c>
      <c r="S16" s="14">
        <v>2.8E-3</v>
      </c>
      <c r="T16" s="8">
        <v>0.45</v>
      </c>
      <c r="U16" s="8">
        <v>0.23</v>
      </c>
    </row>
    <row r="17" spans="2:21" x14ac:dyDescent="0.25">
      <c r="B17" s="1">
        <v>13</v>
      </c>
      <c r="C17" s="1" t="s">
        <v>26</v>
      </c>
      <c r="D17" s="7"/>
      <c r="E17" s="13">
        <v>3.2000000000000001E-2</v>
      </c>
      <c r="F17" s="8">
        <v>0.2</v>
      </c>
      <c r="G17" s="8">
        <v>0.77</v>
      </c>
      <c r="H17" s="8">
        <v>0.38</v>
      </c>
      <c r="I17" s="8">
        <v>0.53</v>
      </c>
      <c r="J17" s="9"/>
      <c r="K17" s="14">
        <v>6.9999999999999999E-4</v>
      </c>
      <c r="L17" s="8">
        <v>0.9</v>
      </c>
      <c r="M17" s="8">
        <v>0.77</v>
      </c>
      <c r="N17" s="8">
        <v>0.4</v>
      </c>
      <c r="O17" s="8">
        <v>0.78</v>
      </c>
      <c r="P17" s="9"/>
      <c r="Q17" s="15">
        <v>6.2E-4</v>
      </c>
      <c r="R17" s="8">
        <v>0.87</v>
      </c>
      <c r="S17" s="8">
        <v>0.77</v>
      </c>
      <c r="T17" s="8" t="s">
        <v>53</v>
      </c>
      <c r="U17" s="8">
        <v>0.46</v>
      </c>
    </row>
    <row r="18" spans="2:21" x14ac:dyDescent="0.25">
      <c r="B18" s="1">
        <v>14</v>
      </c>
      <c r="C18" s="1" t="s">
        <v>27</v>
      </c>
      <c r="D18" s="7"/>
      <c r="E18" s="15">
        <v>9.0000000000000006E-5</v>
      </c>
      <c r="F18" s="8">
        <v>1</v>
      </c>
      <c r="G18" s="14">
        <v>4.8999999999999998E-4</v>
      </c>
      <c r="H18" s="8">
        <v>0.4</v>
      </c>
      <c r="I18" s="8">
        <v>0.98</v>
      </c>
      <c r="J18" s="9"/>
      <c r="K18" s="15">
        <v>1.2E-4</v>
      </c>
      <c r="L18" s="8">
        <v>1</v>
      </c>
      <c r="M18" s="14">
        <v>5.8E-4</v>
      </c>
      <c r="N18" s="8">
        <v>0.4</v>
      </c>
      <c r="O18" s="8">
        <v>0.88</v>
      </c>
      <c r="P18" s="9"/>
      <c r="Q18" s="15">
        <v>1.8000000000000001E-4</v>
      </c>
      <c r="R18" s="8">
        <v>1</v>
      </c>
      <c r="S18" s="15">
        <v>5.8E-4</v>
      </c>
      <c r="T18" s="8">
        <v>0.28999999999999998</v>
      </c>
      <c r="U18" s="8">
        <v>0.73</v>
      </c>
    </row>
    <row r="19" spans="2:21" x14ac:dyDescent="0.25">
      <c r="B19" s="1">
        <v>15</v>
      </c>
      <c r="C19" s="1" t="s">
        <v>28</v>
      </c>
      <c r="D19" s="7"/>
      <c r="E19" s="15">
        <v>1.97E-3</v>
      </c>
      <c r="F19" s="8">
        <v>0.96</v>
      </c>
      <c r="G19" s="14">
        <v>6.7000000000000002E-3</v>
      </c>
      <c r="H19" s="8">
        <v>0.67</v>
      </c>
      <c r="I19" s="8">
        <v>1.01</v>
      </c>
      <c r="J19" s="9"/>
      <c r="K19" s="15">
        <v>2.6800000000000001E-3</v>
      </c>
      <c r="L19" s="8">
        <v>0.96</v>
      </c>
      <c r="M19" s="14">
        <v>6.7000000000000002E-3</v>
      </c>
      <c r="N19" s="8">
        <v>0.59</v>
      </c>
      <c r="O19" s="8">
        <v>1.1299999999999999</v>
      </c>
      <c r="P19" s="9"/>
      <c r="Q19" s="15">
        <v>2.5799999999999998E-3</v>
      </c>
      <c r="R19" s="8">
        <v>0.93</v>
      </c>
      <c r="S19" s="15">
        <v>6.62E-3</v>
      </c>
      <c r="T19" s="8">
        <v>0.62</v>
      </c>
      <c r="U19" s="8">
        <v>0.77</v>
      </c>
    </row>
    <row r="20" spans="2:21" x14ac:dyDescent="0.25">
      <c r="B20" s="1">
        <v>16</v>
      </c>
      <c r="C20" s="1" t="s">
        <v>29</v>
      </c>
      <c r="D20" s="7"/>
      <c r="E20" s="15">
        <v>1.4999999999999999E-4</v>
      </c>
      <c r="F20" s="8">
        <v>1</v>
      </c>
      <c r="G20" s="14">
        <v>5.2999999999999998E-4</v>
      </c>
      <c r="H20" s="8">
        <v>0.4</v>
      </c>
      <c r="I20" s="8">
        <v>1.04</v>
      </c>
      <c r="J20" s="9"/>
      <c r="K20" s="15">
        <v>1.3999999999999999E-4</v>
      </c>
      <c r="L20" s="8">
        <v>0.97</v>
      </c>
      <c r="M20" s="14">
        <v>1.1000000000000001E-3</v>
      </c>
      <c r="N20" s="8">
        <v>0.4</v>
      </c>
      <c r="O20" s="8">
        <v>0.83</v>
      </c>
      <c r="P20" s="9"/>
      <c r="Q20" s="15">
        <v>1.6000000000000001E-4</v>
      </c>
      <c r="R20" s="8">
        <v>0.74</v>
      </c>
      <c r="S20" s="15">
        <v>3.4999999999999997E-5</v>
      </c>
      <c r="T20" s="8">
        <v>0.4</v>
      </c>
      <c r="U20" s="8">
        <v>0.57999999999999996</v>
      </c>
    </row>
    <row r="21" spans="2:21" x14ac:dyDescent="0.25">
      <c r="B21" s="1">
        <v>17</v>
      </c>
      <c r="C21" s="1" t="s">
        <v>30</v>
      </c>
      <c r="D21" s="7"/>
      <c r="E21" s="15">
        <v>2.1000000000000001E-4</v>
      </c>
      <c r="F21" s="8">
        <v>0.73</v>
      </c>
      <c r="G21" s="16">
        <f>S21</f>
        <v>1.2999999999999999E-5</v>
      </c>
      <c r="H21" s="8">
        <v>0.28000000000000003</v>
      </c>
      <c r="I21" s="8">
        <v>1.48</v>
      </c>
      <c r="J21" s="9"/>
      <c r="K21" s="15">
        <v>1.7000000000000001E-4</v>
      </c>
      <c r="L21" s="8">
        <v>0.74</v>
      </c>
      <c r="M21" s="15">
        <f>S21</f>
        <v>1.2999999999999999E-5</v>
      </c>
      <c r="N21" s="8">
        <v>0.32</v>
      </c>
      <c r="O21" s="8">
        <v>1.28</v>
      </c>
      <c r="P21" s="9"/>
      <c r="Q21" s="15">
        <v>3.4000000000000002E-4</v>
      </c>
      <c r="R21" s="8">
        <v>0.74</v>
      </c>
      <c r="S21" s="15">
        <v>1.2999999999999999E-5</v>
      </c>
      <c r="T21" s="8">
        <v>1</v>
      </c>
      <c r="U21" s="8">
        <v>1.55</v>
      </c>
    </row>
    <row r="22" spans="2:21" x14ac:dyDescent="0.25">
      <c r="B22" s="1">
        <v>18</v>
      </c>
      <c r="C22" s="1" t="s">
        <v>31</v>
      </c>
      <c r="D22" s="7"/>
      <c r="E22" s="15">
        <v>3.6999999999999999E-4</v>
      </c>
      <c r="F22" s="8">
        <v>0.99</v>
      </c>
      <c r="G22" s="14">
        <v>1.2999999999999999E-3</v>
      </c>
      <c r="H22" s="8">
        <v>0.48</v>
      </c>
      <c r="I22" s="8">
        <v>6</v>
      </c>
      <c r="J22" s="9"/>
      <c r="K22" s="15">
        <v>3.1300000000000002E-4</v>
      </c>
      <c r="L22" s="8">
        <v>0.99</v>
      </c>
      <c r="M22" s="14">
        <v>2.9999999999999997E-4</v>
      </c>
      <c r="N22" s="8">
        <v>0.5</v>
      </c>
      <c r="O22" s="8">
        <v>4.91</v>
      </c>
      <c r="P22" s="9"/>
      <c r="Q22" s="15">
        <v>1.15E-4</v>
      </c>
      <c r="R22" s="8">
        <v>0.98</v>
      </c>
      <c r="S22" s="15">
        <v>1.98E-3</v>
      </c>
      <c r="T22" s="8">
        <v>0.6</v>
      </c>
      <c r="U22" s="8">
        <v>6.39</v>
      </c>
    </row>
    <row r="23" spans="2:21" x14ac:dyDescent="0.25">
      <c r="B23" s="1">
        <v>19</v>
      </c>
      <c r="C23" s="1" t="s">
        <v>32</v>
      </c>
      <c r="D23" s="7"/>
      <c r="E23" s="15">
        <v>4.0000000000000003E-5</v>
      </c>
      <c r="F23" s="8">
        <v>0.99</v>
      </c>
      <c r="G23" s="14">
        <v>4.0000000000000002E-4</v>
      </c>
      <c r="H23" s="8">
        <v>0.45</v>
      </c>
      <c r="I23" s="8">
        <v>5.09</v>
      </c>
      <c r="J23" s="9"/>
      <c r="K23" s="15">
        <v>9.0000000000000006E-5</v>
      </c>
      <c r="L23" s="8">
        <v>0.99</v>
      </c>
      <c r="M23" s="14">
        <v>2.4000000000000001E-4</v>
      </c>
      <c r="N23" s="8">
        <v>0.45</v>
      </c>
      <c r="O23" s="8">
        <v>4.91</v>
      </c>
      <c r="P23" s="9"/>
      <c r="Q23" s="15">
        <v>1.2E-4</v>
      </c>
      <c r="R23" s="8">
        <v>0.98</v>
      </c>
      <c r="S23" s="15">
        <v>2.5000000000000001E-4</v>
      </c>
      <c r="T23" s="8">
        <v>0.6</v>
      </c>
      <c r="U23" s="8">
        <v>5.94</v>
      </c>
    </row>
    <row r="24" spans="2:21" x14ac:dyDescent="0.25">
      <c r="B24" s="1">
        <v>20</v>
      </c>
      <c r="C24" s="1" t="s">
        <v>34</v>
      </c>
      <c r="D24" s="7"/>
      <c r="E24" s="8">
        <v>0.10036</v>
      </c>
      <c r="F24" s="8">
        <v>0.77</v>
      </c>
      <c r="G24" s="14">
        <v>2.545E-2</v>
      </c>
      <c r="H24" s="8">
        <v>0.32</v>
      </c>
      <c r="I24" s="8">
        <v>0.56999999999999995</v>
      </c>
      <c r="J24" s="9"/>
      <c r="K24" s="15">
        <f>E24</f>
        <v>0.10036</v>
      </c>
      <c r="L24" s="8">
        <v>0.78</v>
      </c>
      <c r="M24" s="14">
        <v>2.545E-2</v>
      </c>
      <c r="N24" s="8">
        <v>0.31</v>
      </c>
      <c r="O24" s="8">
        <v>0.51</v>
      </c>
      <c r="P24" s="9"/>
      <c r="Q24" s="15">
        <v>7.4291999999999997E-2</v>
      </c>
      <c r="R24" s="8">
        <v>0.78</v>
      </c>
      <c r="S24" s="15">
        <v>4.15E-4</v>
      </c>
      <c r="T24" s="8">
        <v>0.33</v>
      </c>
      <c r="U24" s="8">
        <v>0.46</v>
      </c>
    </row>
    <row r="25" spans="2:21" x14ac:dyDescent="0.25">
      <c r="B25" s="1">
        <v>21</v>
      </c>
      <c r="C25" s="1" t="s">
        <v>37</v>
      </c>
      <c r="D25" s="7"/>
      <c r="E25" s="8">
        <v>14.94</v>
      </c>
      <c r="F25" s="8">
        <v>10.5</v>
      </c>
      <c r="G25" s="8">
        <v>1.84</v>
      </c>
      <c r="H25" s="8">
        <f>50/61</f>
        <v>0.81967213114754101</v>
      </c>
      <c r="I25" s="8">
        <f>2176607/1052111</f>
        <v>2.0687997749286908</v>
      </c>
      <c r="J25" s="9"/>
      <c r="K25" s="8">
        <v>14.26</v>
      </c>
      <c r="L25" s="8">
        <v>10.83</v>
      </c>
      <c r="M25" s="8">
        <v>1.86</v>
      </c>
      <c r="N25" s="8">
        <f>40/51</f>
        <v>0.78431372549019607</v>
      </c>
      <c r="O25" s="8">
        <f>1886089/1076904</f>
        <v>1.7513993819319085</v>
      </c>
      <c r="P25" s="9"/>
      <c r="Q25" s="8">
        <v>12.66</v>
      </c>
      <c r="R25" s="8">
        <f>20.21-11.43</f>
        <v>8.7800000000000011</v>
      </c>
      <c r="S25" s="8">
        <v>1.88</v>
      </c>
      <c r="T25" s="8">
        <f>10/32</f>
        <v>0.3125</v>
      </c>
      <c r="U25" s="8">
        <f>1749896/1139164</f>
        <v>1.5361229814144408</v>
      </c>
    </row>
    <row r="26" spans="2:21" x14ac:dyDescent="0.25">
      <c r="B26" s="1">
        <v>22</v>
      </c>
      <c r="C26" s="1" t="s">
        <v>38</v>
      </c>
      <c r="D26" s="7"/>
      <c r="E26" s="8">
        <v>79.930000000000007</v>
      </c>
      <c r="F26" s="8">
        <f>30.07-22.97</f>
        <v>7.1000000000000014</v>
      </c>
      <c r="G26" s="8">
        <v>0.09</v>
      </c>
      <c r="H26" s="8">
        <v>0.22</v>
      </c>
      <c r="I26" s="8">
        <f>23081225/6550468</f>
        <v>3.5235993825174017</v>
      </c>
      <c r="J26" s="9"/>
      <c r="K26" s="8">
        <v>79.930000000000007</v>
      </c>
      <c r="L26" s="8">
        <v>11.29</v>
      </c>
      <c r="M26" s="8">
        <v>0.03</v>
      </c>
      <c r="N26" s="8">
        <v>0.18</v>
      </c>
      <c r="O26" s="8">
        <f>30000671/6935590</f>
        <v>4.3256119522636141</v>
      </c>
      <c r="P26" s="9"/>
      <c r="Q26" s="8">
        <v>80.06</v>
      </c>
      <c r="R26" s="8">
        <v>8.17</v>
      </c>
      <c r="S26" s="8">
        <v>0.03</v>
      </c>
      <c r="T26" s="8">
        <v>0.17</v>
      </c>
      <c r="U26" s="8">
        <f>30782968/7270971</f>
        <v>4.2336804809151349</v>
      </c>
    </row>
    <row r="27" spans="2:21" x14ac:dyDescent="0.25">
      <c r="B27" s="1">
        <v>23</v>
      </c>
      <c r="C27" s="26" t="s">
        <v>6</v>
      </c>
      <c r="D27" s="7"/>
      <c r="E27" s="27">
        <v>93.04</v>
      </c>
      <c r="F27" s="27">
        <v>5.81</v>
      </c>
      <c r="G27" s="28">
        <v>1E-4</v>
      </c>
      <c r="H27" s="27">
        <f>460/1194</f>
        <v>0.38525963149078729</v>
      </c>
      <c r="I27" s="27">
        <f>11944837/7578133</f>
        <v>1.576224249429246</v>
      </c>
      <c r="J27" s="9"/>
      <c r="K27" s="27">
        <v>93.1</v>
      </c>
      <c r="L27" s="27">
        <v>5.6</v>
      </c>
      <c r="M27" s="29">
        <f>G27</f>
        <v>1E-4</v>
      </c>
      <c r="N27" s="27">
        <f>775/969</f>
        <v>0.79979360165118674</v>
      </c>
      <c r="O27" s="27">
        <f>15367509/5281862</f>
        <v>2.9094870331712568</v>
      </c>
      <c r="P27" s="9"/>
      <c r="Q27" s="30" t="s">
        <v>48</v>
      </c>
      <c r="R27" s="27" t="s">
        <v>49</v>
      </c>
      <c r="S27" s="27" t="s">
        <v>50</v>
      </c>
      <c r="T27" s="27">
        <v>0.99</v>
      </c>
      <c r="U27" s="27">
        <f>15597/4937</f>
        <v>3.1592059955438527</v>
      </c>
    </row>
    <row r="28" spans="2:21" x14ac:dyDescent="0.25">
      <c r="B28" s="1">
        <v>24</v>
      </c>
      <c r="C28" s="31" t="s">
        <v>35</v>
      </c>
      <c r="D28" s="7"/>
      <c r="E28" s="32">
        <v>4.3</v>
      </c>
      <c r="F28" s="32">
        <v>93.19</v>
      </c>
      <c r="G28" s="32">
        <v>2.5</v>
      </c>
      <c r="H28" s="32">
        <f>105/180</f>
        <v>0.58333333333333337</v>
      </c>
      <c r="I28" s="32">
        <f>482559876/1200261863</f>
        <v>0.40204549596690803</v>
      </c>
      <c r="J28" s="7"/>
      <c r="K28" s="32">
        <v>4.32</v>
      </c>
      <c r="L28" s="32">
        <v>93.28</v>
      </c>
      <c r="M28" s="32">
        <v>2.52</v>
      </c>
      <c r="N28" s="32">
        <f>107/198</f>
        <v>0.54040404040404044</v>
      </c>
      <c r="O28" s="32">
        <f>523881726/1306078988</f>
        <v>0.40111029333855264</v>
      </c>
      <c r="P28" s="7"/>
      <c r="Q28" s="32">
        <v>4.32</v>
      </c>
      <c r="R28" s="32">
        <v>93.35</v>
      </c>
      <c r="S28" s="32">
        <v>2.4</v>
      </c>
      <c r="T28" s="32">
        <f>107/145</f>
        <v>0.73793103448275865</v>
      </c>
      <c r="U28" s="32">
        <f>660424729/1326287143</f>
        <v>0.49795003479122169</v>
      </c>
    </row>
    <row r="29" spans="2:21" x14ac:dyDescent="0.25">
      <c r="B29" s="1">
        <v>25</v>
      </c>
      <c r="C29" s="1" t="s">
        <v>40</v>
      </c>
      <c r="D29" s="7"/>
      <c r="E29" s="8">
        <v>8.24</v>
      </c>
      <c r="F29" s="12">
        <v>77.08</v>
      </c>
      <c r="G29" s="8">
        <f>1.36+1.35+0.06+0.05+0.28+0.2</f>
        <v>3.3</v>
      </c>
      <c r="H29" s="8" t="s">
        <v>56</v>
      </c>
      <c r="I29" s="8">
        <f>2221761/2582496</f>
        <v>0.86031536931712571</v>
      </c>
      <c r="J29" s="9"/>
      <c r="K29" s="8">
        <v>5.0999999999999996</v>
      </c>
      <c r="L29" s="8">
        <v>80.22</v>
      </c>
      <c r="M29" s="8">
        <f>1.36+1.35+0.06+0.05+0.28+0.2</f>
        <v>3.3</v>
      </c>
      <c r="N29" s="8" t="s">
        <v>55</v>
      </c>
      <c r="O29" s="8">
        <f>2230342/2697767</f>
        <v>0.82673633416080783</v>
      </c>
      <c r="P29" s="9"/>
      <c r="Q29" s="8">
        <v>5.03</v>
      </c>
      <c r="R29" s="8">
        <v>81.5</v>
      </c>
      <c r="S29" s="8">
        <f>0.02+0.06+0.05+0.28+0.2</f>
        <v>0.6100000000000001</v>
      </c>
      <c r="T29" s="8" t="s">
        <v>55</v>
      </c>
      <c r="U29" s="8">
        <f>1882248/2683067</f>
        <v>0.70152851196037969</v>
      </c>
    </row>
    <row r="30" spans="2:21" x14ac:dyDescent="0.25">
      <c r="B30" s="1">
        <v>26</v>
      </c>
      <c r="C30" s="1" t="s">
        <v>41</v>
      </c>
      <c r="D30" s="7"/>
      <c r="E30" s="8">
        <v>28.81</v>
      </c>
      <c r="F30" s="8">
        <v>3.62</v>
      </c>
      <c r="G30" s="15">
        <v>1.0000000000000001E-5</v>
      </c>
      <c r="H30" s="8">
        <v>0.5</v>
      </c>
      <c r="I30" s="8">
        <f>1085.7/4235.5</f>
        <v>0.25633337268327233</v>
      </c>
      <c r="J30" s="9"/>
      <c r="K30" s="8">
        <v>35.97</v>
      </c>
      <c r="L30" s="8">
        <v>2.86</v>
      </c>
      <c r="M30" s="15">
        <v>1.0000000000000001E-5</v>
      </c>
      <c r="N30" s="8">
        <v>0.5</v>
      </c>
      <c r="O30" s="8">
        <f>1177.7/4742.5</f>
        <v>0.24832894043226147</v>
      </c>
      <c r="P30" s="9"/>
      <c r="Q30" s="8">
        <v>33.619999999999997</v>
      </c>
      <c r="R30" s="8">
        <v>5.38</v>
      </c>
      <c r="S30" s="15">
        <v>1.0000000000000001E-5</v>
      </c>
      <c r="T30" s="8">
        <v>0.3</v>
      </c>
      <c r="U30" s="8">
        <f>2024.8/5222.2</f>
        <v>0.38772930948642337</v>
      </c>
    </row>
    <row r="31" spans="2:21" x14ac:dyDescent="0.25">
      <c r="B31" s="1">
        <v>27</v>
      </c>
      <c r="C31" s="1" t="s">
        <v>42</v>
      </c>
      <c r="D31" s="7"/>
      <c r="E31" s="8">
        <f>62.33+4.99+4.2+3.24+1.81+1+3.25+3.5</f>
        <v>84.32</v>
      </c>
      <c r="F31" s="8">
        <f>0.14+0.02+0.02</f>
        <v>0.18</v>
      </c>
      <c r="G31" s="8">
        <f>4.51+2.59+0.48+0.04+0.01</f>
        <v>7.63</v>
      </c>
      <c r="H31" s="8">
        <v>0.35</v>
      </c>
      <c r="I31" s="8">
        <f>1556042/1334409</f>
        <v>1.1660907562823692</v>
      </c>
      <c r="J31" s="9"/>
      <c r="K31" s="8">
        <f>62.33+4.99+4.2+3.5+3.25+3.24+1.81+1</f>
        <v>84.32</v>
      </c>
      <c r="L31" s="8">
        <f>3.22+2.87+1.53+0.14+0.02+0.02+0.02</f>
        <v>7.8199999999999985</v>
      </c>
      <c r="M31" s="8">
        <f>4.51+2.59+0.48+0.04+0.01</f>
        <v>7.63</v>
      </c>
      <c r="N31" s="8">
        <v>0.36</v>
      </c>
      <c r="O31" s="8">
        <f>1325949/1253704</f>
        <v>1.0576252448743881</v>
      </c>
      <c r="P31" s="9"/>
      <c r="Q31" s="8">
        <f>62.33+4.99+4.2+3.5+3.25+3.24+1.81+1</f>
        <v>84.32</v>
      </c>
      <c r="R31" s="8">
        <f>3.22+2.87+1.53+0.14+0.02+0.02+0.02</f>
        <v>7.8199999999999985</v>
      </c>
      <c r="S31" s="8">
        <f>4.51+2.59+0.48+0.04</f>
        <v>7.62</v>
      </c>
      <c r="T31" s="8">
        <v>0.43</v>
      </c>
      <c r="U31" s="8">
        <f>1090546/1387236</f>
        <v>0.78612867601475167</v>
      </c>
    </row>
    <row r="32" spans="2:21" x14ac:dyDescent="0.25">
      <c r="B32" s="1">
        <v>28</v>
      </c>
      <c r="C32" s="1" t="s">
        <v>43</v>
      </c>
      <c r="D32" s="7"/>
      <c r="E32" s="8">
        <v>21.75</v>
      </c>
      <c r="F32" s="8">
        <f>0.11+0.61+57.11</f>
        <v>57.83</v>
      </c>
      <c r="G32" s="8">
        <f>3.29+2.26+0.04+6.18+0.06+0.03+0.05</f>
        <v>11.91</v>
      </c>
      <c r="H32" s="8">
        <v>0.48</v>
      </c>
      <c r="I32" s="8">
        <f>2758/4303</f>
        <v>0.64094817569137807</v>
      </c>
      <c r="J32" s="9"/>
      <c r="K32">
        <f>19.54</f>
        <v>19.54</v>
      </c>
      <c r="L32" s="8">
        <f>59.52+0.52+0.1+0.04</f>
        <v>60.180000000000007</v>
      </c>
      <c r="M32" s="8">
        <f>3.29+2.26+0.04+6.18+0.06+0.03+0.05</f>
        <v>11.91</v>
      </c>
      <c r="N32" s="8">
        <v>0.34</v>
      </c>
      <c r="O32" s="8">
        <f>3234/3983</f>
        <v>0.81195079086115995</v>
      </c>
      <c r="P32" s="9"/>
      <c r="Q32" s="8">
        <v>17.25</v>
      </c>
      <c r="R32" s="8">
        <f>60.33+0.58+0.13+0.01</f>
        <v>61.05</v>
      </c>
      <c r="S32" s="8">
        <f>3.29+2.54+0.25+6.18+0.05+0.03</f>
        <v>12.34</v>
      </c>
      <c r="T32" s="8">
        <v>0.4</v>
      </c>
      <c r="U32" s="8">
        <f>2430/3952</f>
        <v>0.61487854251012142</v>
      </c>
    </row>
    <row r="33" spans="2:21" x14ac:dyDescent="0.25">
      <c r="B33" s="1">
        <v>29</v>
      </c>
      <c r="C33" s="1" t="s">
        <v>46</v>
      </c>
      <c r="D33" s="7"/>
      <c r="E33" s="8">
        <v>35.229999999999997</v>
      </c>
      <c r="F33" s="8">
        <v>55.44</v>
      </c>
      <c r="G33" s="8">
        <f>0.62+0.47+0.46</f>
        <v>1.5499999999999998</v>
      </c>
      <c r="H33" s="37">
        <f>3.6/15.66</f>
        <v>0.22988505747126436</v>
      </c>
      <c r="I33" s="8">
        <f>16148410/6017558</f>
        <v>2.6835487086289822</v>
      </c>
      <c r="J33" s="9"/>
      <c r="K33" s="8">
        <f>E33</f>
        <v>35.229999999999997</v>
      </c>
      <c r="L33" s="8">
        <v>55.44</v>
      </c>
      <c r="M33" s="8">
        <f>0.62+0.47+0.46</f>
        <v>1.5499999999999998</v>
      </c>
      <c r="N33" s="8">
        <f>2.64/26.79</f>
        <v>9.8544232922732372E-2</v>
      </c>
      <c r="O33" s="8">
        <f>17108006/6884307</f>
        <v>2.4850730799774037</v>
      </c>
      <c r="P33" s="9"/>
      <c r="Q33" s="8">
        <f>K33</f>
        <v>35.229999999999997</v>
      </c>
      <c r="R33" s="8">
        <v>52.55</v>
      </c>
      <c r="S33" s="8">
        <f>0.64+0.47+0.46</f>
        <v>1.5699999999999998</v>
      </c>
      <c r="T33" s="8">
        <v>14.49</v>
      </c>
      <c r="U33" s="8">
        <f>14179604/5294763</f>
        <v>2.678043190979464</v>
      </c>
    </row>
    <row r="34" spans="2:21" x14ac:dyDescent="0.25">
      <c r="B34" s="1">
        <v>30</v>
      </c>
      <c r="C34" s="31" t="s">
        <v>15</v>
      </c>
      <c r="D34" s="7"/>
      <c r="E34" s="32">
        <v>2.38</v>
      </c>
      <c r="F34" s="32">
        <v>96.43</v>
      </c>
      <c r="G34" s="33">
        <v>1E-4</v>
      </c>
      <c r="H34" s="34">
        <v>0.98</v>
      </c>
      <c r="I34" s="32">
        <f>11244/35358</f>
        <v>0.31800441201425422</v>
      </c>
      <c r="J34" s="9"/>
      <c r="K34" s="35">
        <v>2.2999999999999998</v>
      </c>
      <c r="L34" s="32">
        <f>111031021422/116318076900</f>
        <v>0.95454657075748128</v>
      </c>
      <c r="M34" s="33">
        <v>1E-4</v>
      </c>
      <c r="N34" s="32">
        <v>1</v>
      </c>
      <c r="O34" s="32">
        <f>15233/36680</f>
        <v>0.41529443838604146</v>
      </c>
      <c r="P34" s="9"/>
      <c r="Q34" s="32">
        <v>1.28</v>
      </c>
      <c r="R34" s="32">
        <v>94.97</v>
      </c>
      <c r="S34" s="33">
        <v>1E-4</v>
      </c>
      <c r="T34" s="32">
        <v>1.01</v>
      </c>
      <c r="U34" s="32">
        <f>19433/30241</f>
        <v>0.6426044112297874</v>
      </c>
    </row>
    <row r="35" spans="2:21" x14ac:dyDescent="0.25">
      <c r="B35" s="1">
        <v>31</v>
      </c>
      <c r="C35" s="31" t="s">
        <v>19</v>
      </c>
      <c r="D35" s="7"/>
      <c r="E35" s="32">
        <v>6.1740000000000004</v>
      </c>
      <c r="F35" s="32">
        <v>69.55</v>
      </c>
      <c r="G35" s="33">
        <v>4.4999999999999997E-3</v>
      </c>
      <c r="H35" s="32">
        <v>0.48</v>
      </c>
      <c r="I35" s="32">
        <f>514/1312</f>
        <v>0.39176829268292684</v>
      </c>
      <c r="J35" s="9"/>
      <c r="K35" s="32">
        <v>5.28</v>
      </c>
      <c r="L35" s="32">
        <v>69.06</v>
      </c>
      <c r="M35" s="39">
        <v>5.0000000000000001E-3</v>
      </c>
      <c r="N35" s="32">
        <v>0.84</v>
      </c>
      <c r="O35" s="32">
        <f>979/1353</f>
        <v>0.72357723577235777</v>
      </c>
      <c r="P35" s="9"/>
      <c r="Q35" s="12">
        <v>2.742</v>
      </c>
      <c r="R35" s="32">
        <v>67.209999999999994</v>
      </c>
      <c r="S35" s="38">
        <v>8.0000000000000002E-3</v>
      </c>
      <c r="T35" s="32">
        <v>0.56000000000000005</v>
      </c>
      <c r="U35" s="32">
        <f>1596/1369</f>
        <v>1.1658144631117604</v>
      </c>
    </row>
    <row r="36" spans="2:21" x14ac:dyDescent="0.25">
      <c r="B36" s="1">
        <v>32</v>
      </c>
      <c r="C36" s="31" t="s">
        <v>8</v>
      </c>
      <c r="D36" s="7"/>
      <c r="E36" s="32">
        <v>0.86</v>
      </c>
      <c r="F36" s="32">
        <f>5.11+35.56+30.57+25.34</f>
        <v>96.580000000000013</v>
      </c>
      <c r="G36" s="38">
        <v>2.5000000000000001E-2</v>
      </c>
      <c r="H36" s="32">
        <f>160/482</f>
        <v>0.33195020746887965</v>
      </c>
      <c r="I36" s="32">
        <f>2237/3485</f>
        <v>0.64189383070301287</v>
      </c>
      <c r="J36" s="7"/>
      <c r="K36" s="32">
        <v>0.76</v>
      </c>
      <c r="L36" s="32">
        <f>4.68+36.56+30.57+25.36</f>
        <v>97.17</v>
      </c>
      <c r="M36" s="38">
        <v>2.7E-2</v>
      </c>
      <c r="N36" s="32">
        <f>204/482</f>
        <v>0.42323651452282157</v>
      </c>
      <c r="O36" s="32">
        <f>1603873/2995872</f>
        <v>0.53536099005564985</v>
      </c>
      <c r="P36" s="7"/>
      <c r="Q36" s="32">
        <v>0.86</v>
      </c>
      <c r="R36" s="32">
        <f>5.1+36.56+30.57+25.34</f>
        <v>97.570000000000007</v>
      </c>
      <c r="S36" s="38">
        <v>2.3E-2</v>
      </c>
      <c r="T36" s="32">
        <f>320/715</f>
        <v>0.44755244755244755</v>
      </c>
      <c r="U36" s="32">
        <f>1763284/3361956</f>
        <v>0.52448158155549929</v>
      </c>
    </row>
    <row r="37" spans="2:21" x14ac:dyDescent="0.25">
      <c r="B37" s="1">
        <v>33</v>
      </c>
      <c r="C37" s="1" t="s">
        <v>39</v>
      </c>
      <c r="D37" s="7"/>
      <c r="E37" s="8">
        <v>86.06</v>
      </c>
      <c r="F37" s="8">
        <v>7.29</v>
      </c>
      <c r="G37" s="8">
        <f>0.00031+0.00035+0.09456</f>
        <v>9.5219999999999999E-2</v>
      </c>
      <c r="H37" s="8">
        <v>1</v>
      </c>
      <c r="I37" s="8">
        <f>472945/969783</f>
        <v>0.4876812647777905</v>
      </c>
      <c r="J37" s="9"/>
      <c r="K37" s="8">
        <f>83.82+0.14</f>
        <v>83.96</v>
      </c>
      <c r="L37" s="8">
        <v>6.89</v>
      </c>
      <c r="M37" s="8">
        <f>0.00031+0.00036+0.09456</f>
        <v>9.5230000000000009E-2</v>
      </c>
      <c r="N37" s="8">
        <v>0.8</v>
      </c>
      <c r="O37" s="8">
        <f>324576/884465</f>
        <v>0.36697438564555973</v>
      </c>
      <c r="P37" s="9"/>
      <c r="Q37" s="8">
        <f>78.89+0.1</f>
        <v>78.989999999999995</v>
      </c>
      <c r="R37" s="8">
        <v>4.79</v>
      </c>
      <c r="S37" s="8">
        <v>0.12</v>
      </c>
      <c r="T37" s="8">
        <v>0.76</v>
      </c>
      <c r="U37" s="8">
        <f>312339/846290</f>
        <v>0.3690685226104527</v>
      </c>
    </row>
    <row r="38" spans="2:21" x14ac:dyDescent="0.25">
      <c r="B38" s="1">
        <v>34</v>
      </c>
      <c r="C38" s="1" t="s">
        <v>57</v>
      </c>
      <c r="D38" s="7"/>
      <c r="E38" s="37">
        <v>0.1</v>
      </c>
      <c r="F38" s="1">
        <v>0.14000000000000001</v>
      </c>
      <c r="G38" s="1">
        <v>0.57999999999999996</v>
      </c>
      <c r="H38" s="1">
        <v>0.35</v>
      </c>
      <c r="I38" s="1">
        <v>2.64</v>
      </c>
      <c r="J38" s="7"/>
      <c r="K38" s="1">
        <v>0.1</v>
      </c>
      <c r="L38" s="1">
        <v>0.14000000000000001</v>
      </c>
      <c r="M38" s="1">
        <v>0.57999999999999996</v>
      </c>
      <c r="N38" s="1">
        <v>0.24</v>
      </c>
      <c r="O38" s="1">
        <v>2.4900000000000002</v>
      </c>
      <c r="P38" s="7"/>
      <c r="Q38" s="1">
        <v>0.1</v>
      </c>
      <c r="R38" s="1">
        <v>0.11</v>
      </c>
      <c r="S38" s="1">
        <v>0.62</v>
      </c>
      <c r="T38" s="1">
        <v>0.26</v>
      </c>
      <c r="U38" s="1">
        <v>2.0099999999999998</v>
      </c>
    </row>
    <row r="39" spans="2:21" x14ac:dyDescent="0.25">
      <c r="B39" s="1">
        <v>35</v>
      </c>
      <c r="C39" s="1" t="s">
        <v>58</v>
      </c>
      <c r="D39" s="7"/>
      <c r="E39" s="1">
        <v>0.02</v>
      </c>
      <c r="F39" s="1">
        <v>0.72</v>
      </c>
      <c r="G39" s="1">
        <v>4.0000000000000001E-3</v>
      </c>
      <c r="H39" s="1">
        <v>0.67</v>
      </c>
      <c r="I39" s="1">
        <v>0.96</v>
      </c>
      <c r="J39" s="7"/>
      <c r="K39" s="1">
        <v>0.01</v>
      </c>
      <c r="L39" s="1">
        <v>0.72</v>
      </c>
      <c r="M39" s="1">
        <v>4.0000000000000001E-3</v>
      </c>
      <c r="N39" s="37">
        <v>0.8</v>
      </c>
      <c r="O39" s="37">
        <v>1.2</v>
      </c>
      <c r="P39" s="7"/>
      <c r="Q39" s="1">
        <v>5.0000000000000001E-3</v>
      </c>
      <c r="R39" s="1">
        <v>0.72</v>
      </c>
      <c r="S39" s="1">
        <v>5.0000000000000001E-3</v>
      </c>
      <c r="T39" s="1">
        <v>0.54</v>
      </c>
      <c r="U39" s="1">
        <v>1.37</v>
      </c>
    </row>
    <row r="40" spans="2:21" x14ac:dyDescent="0.25">
      <c r="B40" s="1">
        <v>36</v>
      </c>
      <c r="C40" s="1" t="s">
        <v>59</v>
      </c>
      <c r="D40" s="7"/>
      <c r="E40" s="1">
        <v>0.17</v>
      </c>
      <c r="F40" s="37">
        <v>0.7</v>
      </c>
      <c r="G40" s="1">
        <v>0.11</v>
      </c>
      <c r="H40" s="1">
        <v>0.25</v>
      </c>
      <c r="I40" s="1">
        <v>0.64</v>
      </c>
      <c r="J40" s="7"/>
      <c r="K40" s="1">
        <v>0.16</v>
      </c>
      <c r="L40" s="1">
        <v>0.72</v>
      </c>
      <c r="M40" s="37">
        <v>0.1</v>
      </c>
      <c r="N40" s="1">
        <v>0.08</v>
      </c>
      <c r="O40" s="1">
        <v>0.74</v>
      </c>
      <c r="P40" s="7"/>
      <c r="Q40" s="1">
        <v>0.14000000000000001</v>
      </c>
      <c r="R40" s="1">
        <v>0.71</v>
      </c>
      <c r="S40" s="1">
        <v>0.12</v>
      </c>
      <c r="T40" s="1">
        <v>1.35</v>
      </c>
      <c r="U40" s="1">
        <v>1.03</v>
      </c>
    </row>
    <row r="41" spans="2:21" x14ac:dyDescent="0.25">
      <c r="B41" s="1">
        <v>37</v>
      </c>
      <c r="C41" s="1"/>
      <c r="D41" s="7"/>
      <c r="E41" s="1"/>
      <c r="F41" s="1"/>
      <c r="G41" s="1"/>
      <c r="H41" s="1"/>
      <c r="I41" s="1"/>
      <c r="J41" s="7"/>
      <c r="K41" s="1"/>
      <c r="L41" s="1"/>
      <c r="M41" s="1"/>
      <c r="N41" s="1"/>
      <c r="O41" s="1"/>
      <c r="P41" s="7"/>
      <c r="Q41" s="1"/>
      <c r="R41" s="1"/>
      <c r="S41" s="1"/>
      <c r="T41" s="1"/>
      <c r="U41" s="1"/>
    </row>
    <row r="42" spans="2:21" x14ac:dyDescent="0.25">
      <c r="B42" s="1">
        <v>38</v>
      </c>
      <c r="C42" s="1"/>
      <c r="D42" s="7"/>
      <c r="E42" s="1"/>
      <c r="F42" s="1"/>
      <c r="G42" s="1"/>
      <c r="H42" s="1"/>
      <c r="I42" s="1"/>
      <c r="J42" s="7"/>
      <c r="K42" s="1"/>
      <c r="L42" s="1"/>
      <c r="M42" s="1"/>
      <c r="N42" s="1"/>
      <c r="O42" s="1"/>
      <c r="P42" s="7"/>
      <c r="Q42" s="1"/>
      <c r="R42" s="1"/>
      <c r="S42" s="1"/>
      <c r="T42" s="1"/>
      <c r="U42" s="1"/>
    </row>
    <row r="43" spans="2:21" x14ac:dyDescent="0.25">
      <c r="B43" s="1"/>
      <c r="C43" s="1"/>
      <c r="D43" s="7"/>
      <c r="E43" s="1"/>
      <c r="F43" s="1"/>
      <c r="G43" s="1"/>
      <c r="H43" s="1"/>
      <c r="I43" s="1"/>
      <c r="J43" s="7"/>
      <c r="K43" s="1"/>
      <c r="L43" s="1"/>
      <c r="M43" s="1"/>
      <c r="N43" s="1"/>
      <c r="O43" s="1"/>
      <c r="P43" s="7"/>
      <c r="Q43" s="1"/>
      <c r="R43" s="1"/>
      <c r="S43" s="1"/>
      <c r="T43" s="1"/>
      <c r="U43" s="1"/>
    </row>
    <row r="44" spans="2:21" x14ac:dyDescent="0.25">
      <c r="B44" s="1"/>
      <c r="C44" s="1"/>
      <c r="D44" s="7"/>
      <c r="E44" s="1"/>
      <c r="F44" s="1"/>
      <c r="G44" s="1"/>
      <c r="H44" s="1"/>
      <c r="I44" s="1"/>
      <c r="J44" s="7"/>
      <c r="K44" s="1"/>
      <c r="L44" s="1"/>
      <c r="M44" s="1"/>
      <c r="N44" s="1"/>
      <c r="O44" s="1"/>
      <c r="P44" s="7"/>
      <c r="Q44" s="1"/>
      <c r="R44" s="1"/>
      <c r="S44" s="1"/>
      <c r="T44" s="1"/>
      <c r="U44" s="1"/>
    </row>
  </sheetData>
  <mergeCells count="5">
    <mergeCell ref="B3:B4"/>
    <mergeCell ref="C3:C4"/>
    <mergeCell ref="E3:I3"/>
    <mergeCell ref="K3:O3"/>
    <mergeCell ref="Q3:U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832AC-3483-46FA-91D3-6A6B909270E0}">
  <dimension ref="A2:G110"/>
  <sheetViews>
    <sheetView tabSelected="1" topLeftCell="A94" zoomScale="90" zoomScaleNormal="90" workbookViewId="0">
      <selection activeCell="I83" sqref="I83"/>
    </sheetView>
  </sheetViews>
  <sheetFormatPr defaultRowHeight="15" x14ac:dyDescent="0.25"/>
  <cols>
    <col min="2" max="2" width="4.42578125" bestFit="1" customWidth="1"/>
    <col min="3" max="3" width="9.28515625" customWidth="1"/>
    <col min="4" max="6" width="9.28515625" bestFit="1" customWidth="1"/>
    <col min="7" max="7" width="8.28515625" bestFit="1" customWidth="1"/>
  </cols>
  <sheetData>
    <row r="2" spans="1:7" x14ac:dyDescent="0.25">
      <c r="A2" s="41" t="s">
        <v>65</v>
      </c>
      <c r="B2" s="41" t="s">
        <v>64</v>
      </c>
      <c r="C2" s="41" t="s">
        <v>1</v>
      </c>
      <c r="D2" s="41" t="s">
        <v>2</v>
      </c>
      <c r="E2" s="41" t="s">
        <v>3</v>
      </c>
      <c r="F2" s="41" t="s">
        <v>4</v>
      </c>
      <c r="G2" s="41" t="s">
        <v>5</v>
      </c>
    </row>
    <row r="3" spans="1:7" x14ac:dyDescent="0.25">
      <c r="A3" s="47">
        <v>1</v>
      </c>
      <c r="B3" s="1">
        <v>1</v>
      </c>
      <c r="C3" s="15">
        <v>37.06</v>
      </c>
      <c r="D3" s="15">
        <f>0.0019+0.104+1.509+3.133+0.0001+0.0014</f>
        <v>4.7493999999999996</v>
      </c>
      <c r="E3" s="15">
        <v>5.0000000000000002E-5</v>
      </c>
      <c r="F3" s="15">
        <f>135/519</f>
        <v>0.26011560693641617</v>
      </c>
      <c r="G3" s="15">
        <f>18420/32736</f>
        <v>0.56268328445747806</v>
      </c>
    </row>
    <row r="4" spans="1:7" x14ac:dyDescent="0.25">
      <c r="A4" s="47"/>
      <c r="B4" s="1">
        <v>2</v>
      </c>
      <c r="C4" s="15">
        <v>35.24</v>
      </c>
      <c r="D4" s="15">
        <v>9.5299999999999994</v>
      </c>
      <c r="E4" s="15">
        <v>1E-4</v>
      </c>
      <c r="F4" s="15">
        <f>207/403</f>
        <v>0.51364764267990071</v>
      </c>
      <c r="G4" s="15">
        <f>43.915/33.892</f>
        <v>1.2957335064321962</v>
      </c>
    </row>
    <row r="5" spans="1:7" x14ac:dyDescent="0.25">
      <c r="A5" s="47"/>
      <c r="B5" s="1">
        <v>3</v>
      </c>
      <c r="C5" s="15">
        <v>34.58</v>
      </c>
      <c r="D5" s="15">
        <f>0.0029+0.095+6.04+4.19+0.0006+0.043+0.00008+0.0014</f>
        <v>10.37298</v>
      </c>
      <c r="E5" s="15">
        <v>1E-4</v>
      </c>
      <c r="F5" s="15">
        <f>40.34/471</f>
        <v>8.5647558386411901E-2</v>
      </c>
      <c r="G5" s="15">
        <f>40572/35653</f>
        <v>1.1379687543825203</v>
      </c>
    </row>
    <row r="6" spans="1:7" x14ac:dyDescent="0.25">
      <c r="A6" s="47">
        <v>2</v>
      </c>
      <c r="B6" s="1">
        <v>4</v>
      </c>
      <c r="C6" s="15">
        <v>72.099999999999994</v>
      </c>
      <c r="D6" s="15">
        <v>8.6999999999999993</v>
      </c>
      <c r="E6" s="15">
        <v>1.2583090164815832E-3</v>
      </c>
      <c r="F6" s="15">
        <v>0.84</v>
      </c>
      <c r="G6" s="15">
        <v>0.19331394839636287</v>
      </c>
    </row>
    <row r="7" spans="1:7" x14ac:dyDescent="0.25">
      <c r="A7" s="47"/>
      <c r="B7" s="1">
        <v>5</v>
      </c>
      <c r="C7" s="15">
        <v>70.099999999999994</v>
      </c>
      <c r="D7" s="15">
        <v>13.1</v>
      </c>
      <c r="E7" s="15">
        <v>1.2583090164815832E-3</v>
      </c>
      <c r="F7" s="15">
        <v>0.84</v>
      </c>
      <c r="G7" s="15">
        <v>0.20854909840219851</v>
      </c>
    </row>
    <row r="8" spans="1:7" x14ac:dyDescent="0.25">
      <c r="A8" s="47"/>
      <c r="B8" s="1">
        <v>6</v>
      </c>
      <c r="C8" s="15">
        <v>72</v>
      </c>
      <c r="D8" s="15">
        <v>13.2</v>
      </c>
      <c r="E8" s="15">
        <v>1.3577785123379004E-3</v>
      </c>
      <c r="F8" s="15">
        <v>0.84</v>
      </c>
      <c r="G8" s="15">
        <v>0.15659631394001439</v>
      </c>
    </row>
    <row r="9" spans="1:7" x14ac:dyDescent="0.25">
      <c r="A9" s="47">
        <v>3</v>
      </c>
      <c r="B9" s="1">
        <v>7</v>
      </c>
      <c r="C9" s="15">
        <v>36.75</v>
      </c>
      <c r="D9" s="15">
        <v>11.139999999999999</v>
      </c>
      <c r="E9" s="15">
        <v>8.1648819072373241E-5</v>
      </c>
      <c r="F9" s="15">
        <v>0.91758241758241754</v>
      </c>
      <c r="G9" s="15">
        <v>0.43110923587266486</v>
      </c>
    </row>
    <row r="10" spans="1:7" x14ac:dyDescent="0.25">
      <c r="A10" s="47"/>
      <c r="B10" s="1">
        <v>8</v>
      </c>
      <c r="C10" s="15">
        <v>36.93</v>
      </c>
      <c r="D10" s="15">
        <v>8.17</v>
      </c>
      <c r="E10" s="15">
        <v>1E-4</v>
      </c>
      <c r="F10" s="15">
        <v>0.86702127659574468</v>
      </c>
      <c r="G10" s="15">
        <v>0.4699558786300676</v>
      </c>
    </row>
    <row r="11" spans="1:7" x14ac:dyDescent="0.25">
      <c r="A11" s="47"/>
      <c r="B11" s="1">
        <v>9</v>
      </c>
      <c r="C11" s="15">
        <v>33.33</v>
      </c>
      <c r="D11" s="15">
        <v>12.129999999999999</v>
      </c>
      <c r="E11" s="15">
        <v>1E-4</v>
      </c>
      <c r="F11" s="15">
        <v>0.73333333333333328</v>
      </c>
      <c r="G11" s="15">
        <v>0.51045787894372385</v>
      </c>
    </row>
    <row r="12" spans="1:7" x14ac:dyDescent="0.25">
      <c r="A12" s="47">
        <v>4</v>
      </c>
      <c r="B12" s="1">
        <v>10</v>
      </c>
      <c r="C12" s="15">
        <v>18.79</v>
      </c>
      <c r="D12" s="15">
        <v>64.92</v>
      </c>
      <c r="E12" s="15">
        <v>7.9630000000000001</v>
      </c>
      <c r="F12" s="15">
        <v>0.53608247422680411</v>
      </c>
      <c r="G12" s="15">
        <v>0.23241699393073903</v>
      </c>
    </row>
    <row r="13" spans="1:7" x14ac:dyDescent="0.25">
      <c r="A13" s="47"/>
      <c r="B13" s="1">
        <v>11</v>
      </c>
      <c r="C13" s="15">
        <v>22.98</v>
      </c>
      <c r="D13" s="15">
        <v>60.38</v>
      </c>
      <c r="E13" s="15">
        <v>7.9790000000000001</v>
      </c>
      <c r="F13" s="15">
        <v>0.57999999999999996</v>
      </c>
      <c r="G13" s="15">
        <v>0.27231777231777232</v>
      </c>
    </row>
    <row r="14" spans="1:7" x14ac:dyDescent="0.25">
      <c r="A14" s="47"/>
      <c r="B14" s="1">
        <v>12</v>
      </c>
      <c r="C14" s="15">
        <v>23.34</v>
      </c>
      <c r="D14" s="15">
        <v>60.14</v>
      </c>
      <c r="E14" s="15">
        <v>7.95</v>
      </c>
      <c r="F14" s="15">
        <v>0.69411764705882351</v>
      </c>
      <c r="G14" s="15">
        <v>0.27444318610796525</v>
      </c>
    </row>
    <row r="15" spans="1:7" x14ac:dyDescent="0.25">
      <c r="A15" s="47">
        <v>5</v>
      </c>
      <c r="B15" s="1">
        <v>13</v>
      </c>
      <c r="C15" s="15">
        <v>34.5</v>
      </c>
      <c r="D15" s="15">
        <v>7.4</v>
      </c>
      <c r="E15" s="15">
        <v>0.19</v>
      </c>
      <c r="F15" s="15">
        <v>0.2430886558627264</v>
      </c>
      <c r="G15" s="15">
        <v>4.4350688289523106</v>
      </c>
    </row>
    <row r="16" spans="1:7" x14ac:dyDescent="0.25">
      <c r="A16" s="47"/>
      <c r="B16" s="1">
        <v>14</v>
      </c>
      <c r="C16" s="15">
        <v>34.840000000000003</v>
      </c>
      <c r="D16" s="15">
        <v>6.95</v>
      </c>
      <c r="E16" s="15">
        <v>0.19</v>
      </c>
      <c r="F16" s="15">
        <v>0.29335634167385677</v>
      </c>
      <c r="G16" s="15">
        <v>4.2772089604520422</v>
      </c>
    </row>
    <row r="17" spans="1:7" x14ac:dyDescent="0.25">
      <c r="A17" s="47"/>
      <c r="B17" s="1">
        <v>15</v>
      </c>
      <c r="C17" s="44">
        <v>34.549999999999997</v>
      </c>
      <c r="D17" s="44">
        <v>7.2</v>
      </c>
      <c r="E17" s="44">
        <v>0.18</v>
      </c>
      <c r="F17" s="15">
        <v>0.30909090909090908</v>
      </c>
      <c r="G17" s="15">
        <v>4.8228676609912569</v>
      </c>
    </row>
    <row r="18" spans="1:7" x14ac:dyDescent="0.25">
      <c r="A18" s="47">
        <v>6</v>
      </c>
      <c r="B18" s="1">
        <v>16</v>
      </c>
      <c r="C18" s="15">
        <v>92.67</v>
      </c>
      <c r="D18" s="15">
        <v>7.32</v>
      </c>
      <c r="E18" s="15">
        <v>0.03</v>
      </c>
      <c r="F18" s="15">
        <v>0.35</v>
      </c>
      <c r="G18" s="15">
        <v>3.4530758226037195</v>
      </c>
    </row>
    <row r="19" spans="1:7" x14ac:dyDescent="0.25">
      <c r="A19" s="47"/>
      <c r="B19" s="1">
        <v>17</v>
      </c>
      <c r="C19" s="15">
        <v>96.04</v>
      </c>
      <c r="D19" s="15">
        <v>2.68</v>
      </c>
      <c r="E19" s="15">
        <v>1.0000000000000001E-5</v>
      </c>
      <c r="F19" s="15">
        <v>0.35</v>
      </c>
      <c r="G19" s="15">
        <v>3.2612678072087546</v>
      </c>
    </row>
    <row r="20" spans="1:7" x14ac:dyDescent="0.25">
      <c r="A20" s="47"/>
      <c r="B20" s="1">
        <v>18</v>
      </c>
      <c r="C20" s="15">
        <v>92.47</v>
      </c>
      <c r="D20" s="15">
        <v>7.32</v>
      </c>
      <c r="E20" s="15">
        <v>1.0000000000000001E-5</v>
      </c>
      <c r="F20" s="15">
        <v>0.45</v>
      </c>
      <c r="G20" s="15">
        <v>3.610212277682157</v>
      </c>
    </row>
    <row r="21" spans="1:7" x14ac:dyDescent="0.25">
      <c r="A21" s="47">
        <v>7</v>
      </c>
      <c r="B21" s="1">
        <v>19</v>
      </c>
      <c r="C21" s="15">
        <v>80.5</v>
      </c>
      <c r="D21" s="15">
        <v>17.52</v>
      </c>
      <c r="E21" s="15">
        <v>1.0000000000000001E-5</v>
      </c>
      <c r="F21" s="15">
        <v>0.5</v>
      </c>
      <c r="G21" s="15">
        <v>0.9339891016908406</v>
      </c>
    </row>
    <row r="22" spans="1:7" x14ac:dyDescent="0.25">
      <c r="A22" s="47"/>
      <c r="B22" s="1">
        <v>20</v>
      </c>
      <c r="C22" s="15">
        <v>82.66</v>
      </c>
      <c r="D22" s="15">
        <v>15.85</v>
      </c>
      <c r="E22" s="15">
        <v>1.0000000000000001E-5</v>
      </c>
      <c r="F22" s="15">
        <v>0.5</v>
      </c>
      <c r="G22" s="15">
        <v>0.77480535773587689</v>
      </c>
    </row>
    <row r="23" spans="1:7" x14ac:dyDescent="0.25">
      <c r="A23" s="47"/>
      <c r="B23" s="1">
        <v>21</v>
      </c>
      <c r="C23" s="15">
        <v>80.290000000000006</v>
      </c>
      <c r="D23" s="15">
        <v>16.350000000000001</v>
      </c>
      <c r="E23" s="15">
        <v>2.1000000000000001E-2</v>
      </c>
      <c r="F23" s="15">
        <v>0.5</v>
      </c>
      <c r="G23" s="15">
        <v>1.0614117111880512</v>
      </c>
    </row>
    <row r="24" spans="1:7" x14ac:dyDescent="0.25">
      <c r="A24" s="47">
        <v>8</v>
      </c>
      <c r="B24" s="1">
        <v>22</v>
      </c>
      <c r="C24" s="15">
        <v>8.0399999999999991</v>
      </c>
      <c r="D24" s="15">
        <v>6.89</v>
      </c>
      <c r="E24" s="15">
        <v>25.34</v>
      </c>
      <c r="F24" s="15">
        <v>0.35064935064935066</v>
      </c>
      <c r="G24" s="15">
        <v>1.0592297787662415</v>
      </c>
    </row>
    <row r="25" spans="1:7" x14ac:dyDescent="0.25">
      <c r="A25" s="47"/>
      <c r="B25" s="1">
        <v>23</v>
      </c>
      <c r="C25" s="15">
        <v>7.81</v>
      </c>
      <c r="D25" s="15">
        <v>6.94</v>
      </c>
      <c r="E25" s="15">
        <v>25.34</v>
      </c>
      <c r="F25" s="15">
        <v>0.3258426966292135</v>
      </c>
      <c r="G25" s="15">
        <v>0.92303377596227854</v>
      </c>
    </row>
    <row r="26" spans="1:7" x14ac:dyDescent="0.25">
      <c r="A26" s="47"/>
      <c r="B26" s="1">
        <v>24</v>
      </c>
      <c r="C26" s="15">
        <v>8.6300000000000008</v>
      </c>
      <c r="D26" s="15">
        <v>6.36</v>
      </c>
      <c r="E26" s="15">
        <v>25.23</v>
      </c>
      <c r="F26" s="15">
        <v>0.32608695652173914</v>
      </c>
      <c r="G26" s="15">
        <v>0.7546516567318472</v>
      </c>
    </row>
    <row r="27" spans="1:7" x14ac:dyDescent="0.25">
      <c r="A27" s="47">
        <v>9</v>
      </c>
      <c r="B27" s="1">
        <v>25</v>
      </c>
      <c r="C27" s="15">
        <v>28.84</v>
      </c>
      <c r="D27" s="15">
        <v>11</v>
      </c>
      <c r="E27" s="15">
        <v>1.0000000000000001E-5</v>
      </c>
      <c r="F27" s="15">
        <v>0.35</v>
      </c>
      <c r="G27" s="15">
        <v>6.3257470056353853</v>
      </c>
    </row>
    <row r="28" spans="1:7" x14ac:dyDescent="0.25">
      <c r="A28" s="47"/>
      <c r="B28" s="1">
        <v>26</v>
      </c>
      <c r="C28" s="15">
        <v>26.45</v>
      </c>
      <c r="D28" s="15">
        <v>11.529999999999998</v>
      </c>
      <c r="E28" s="15">
        <v>2.9999999999999997E-4</v>
      </c>
      <c r="F28" s="15">
        <v>0.2484548825710754</v>
      </c>
      <c r="G28" s="15">
        <v>5.5077357524559218</v>
      </c>
    </row>
    <row r="29" spans="1:7" x14ac:dyDescent="0.25">
      <c r="A29" s="47"/>
      <c r="B29" s="1">
        <v>27</v>
      </c>
      <c r="C29" s="15">
        <v>18.53</v>
      </c>
      <c r="D29" s="15">
        <v>14.729999999999999</v>
      </c>
      <c r="E29" s="15">
        <v>2.9999999999999997E-4</v>
      </c>
      <c r="F29" s="15">
        <v>1.1704545454545454</v>
      </c>
      <c r="G29" s="15">
        <v>6.6113473669289107</v>
      </c>
    </row>
    <row r="30" spans="1:7" x14ac:dyDescent="0.25">
      <c r="A30" s="47">
        <v>10</v>
      </c>
      <c r="B30" s="1">
        <v>28</v>
      </c>
      <c r="C30" s="15">
        <v>8.3000000000000001E-3</v>
      </c>
      <c r="D30" s="15">
        <v>0.55000000000000004</v>
      </c>
      <c r="E30" s="15">
        <v>0.37</v>
      </c>
      <c r="F30" s="15">
        <v>0.96</v>
      </c>
      <c r="G30" s="15">
        <v>0.51</v>
      </c>
    </row>
    <row r="31" spans="1:7" x14ac:dyDescent="0.25">
      <c r="A31" s="47"/>
      <c r="B31" s="1">
        <v>29</v>
      </c>
      <c r="C31" s="15">
        <v>7.9000000000000008E-3</v>
      </c>
      <c r="D31" s="15">
        <v>0.55000000000000004</v>
      </c>
      <c r="E31" s="15">
        <v>0.37</v>
      </c>
      <c r="F31" s="15">
        <v>1.28</v>
      </c>
      <c r="G31" s="15">
        <v>0.53</v>
      </c>
    </row>
    <row r="32" spans="1:7" x14ac:dyDescent="0.25">
      <c r="A32" s="47"/>
      <c r="B32" s="1">
        <v>30</v>
      </c>
      <c r="C32" s="15">
        <v>7.6E-3</v>
      </c>
      <c r="D32" s="15">
        <v>0.55000000000000004</v>
      </c>
      <c r="E32" s="15">
        <v>0.37</v>
      </c>
      <c r="F32" s="15">
        <v>1.76</v>
      </c>
      <c r="G32" s="15">
        <v>0.51</v>
      </c>
    </row>
    <row r="33" spans="1:7" x14ac:dyDescent="0.25">
      <c r="A33" s="47">
        <v>11</v>
      </c>
      <c r="B33" s="1">
        <v>31</v>
      </c>
      <c r="C33" s="15">
        <v>4.6000000000000001E-4</v>
      </c>
      <c r="D33" s="15">
        <v>1.2E-5</v>
      </c>
      <c r="E33" s="15">
        <v>0.77</v>
      </c>
      <c r="F33" s="15">
        <v>0.67</v>
      </c>
      <c r="G33" s="15">
        <v>0.49</v>
      </c>
    </row>
    <row r="34" spans="1:7" x14ac:dyDescent="0.25">
      <c r="A34" s="47"/>
      <c r="B34" s="1">
        <v>32</v>
      </c>
      <c r="C34" s="15">
        <v>6.3E-5</v>
      </c>
      <c r="D34" s="15">
        <v>1.03</v>
      </c>
      <c r="E34" s="15">
        <v>2.5000000000000001E-5</v>
      </c>
      <c r="F34" s="15">
        <v>0.92</v>
      </c>
      <c r="G34" s="15">
        <v>0.67</v>
      </c>
    </row>
    <row r="35" spans="1:7" x14ac:dyDescent="0.25">
      <c r="A35" s="47"/>
      <c r="B35" s="1">
        <v>33</v>
      </c>
      <c r="C35" s="15">
        <v>9.3000000000000005E-4</v>
      </c>
      <c r="D35" s="48">
        <v>0.93</v>
      </c>
      <c r="E35" s="15">
        <v>2.5000000000000001E-5</v>
      </c>
      <c r="F35" s="15">
        <v>1.53</v>
      </c>
      <c r="G35" s="15">
        <v>0.42</v>
      </c>
    </row>
    <row r="36" spans="1:7" x14ac:dyDescent="0.25">
      <c r="A36" s="47">
        <v>12</v>
      </c>
      <c r="B36" s="1">
        <v>34</v>
      </c>
      <c r="C36" s="15">
        <v>3.5E-4</v>
      </c>
      <c r="D36" s="15">
        <v>0.95</v>
      </c>
      <c r="E36" s="15">
        <v>8.0000000000000004E-4</v>
      </c>
      <c r="F36" s="15">
        <v>0.48</v>
      </c>
      <c r="G36" s="15">
        <v>0.19</v>
      </c>
    </row>
    <row r="37" spans="1:7" x14ac:dyDescent="0.25">
      <c r="A37" s="47"/>
      <c r="B37" s="1">
        <v>35</v>
      </c>
      <c r="C37" s="15">
        <v>3.4000000000000002E-4</v>
      </c>
      <c r="D37" s="46">
        <v>0.95</v>
      </c>
      <c r="E37" s="15">
        <v>2.8E-3</v>
      </c>
      <c r="F37" s="15">
        <v>0.49</v>
      </c>
      <c r="G37" s="15">
        <v>0.21</v>
      </c>
    </row>
    <row r="38" spans="1:7" x14ac:dyDescent="0.25">
      <c r="A38" s="47"/>
      <c r="B38" s="1">
        <v>36</v>
      </c>
      <c r="C38" s="15">
        <v>3.8000000000000002E-4</v>
      </c>
      <c r="D38" s="15">
        <v>0.93</v>
      </c>
      <c r="E38" s="15">
        <v>2.8E-3</v>
      </c>
      <c r="F38" s="15">
        <v>0.45</v>
      </c>
      <c r="G38" s="15">
        <v>0.23</v>
      </c>
    </row>
    <row r="39" spans="1:7" x14ac:dyDescent="0.25">
      <c r="A39" s="47">
        <v>13</v>
      </c>
      <c r="B39" s="1">
        <v>37</v>
      </c>
      <c r="C39" s="15">
        <v>3.2000000000000001E-2</v>
      </c>
      <c r="D39" s="15">
        <v>0.2</v>
      </c>
      <c r="E39" s="15">
        <v>0.77</v>
      </c>
      <c r="F39" s="15">
        <v>0.38</v>
      </c>
      <c r="G39" s="15">
        <v>0.53</v>
      </c>
    </row>
    <row r="40" spans="1:7" x14ac:dyDescent="0.25">
      <c r="A40" s="47"/>
      <c r="B40" s="1">
        <v>38</v>
      </c>
      <c r="C40" s="15">
        <v>6.9999999999999999E-4</v>
      </c>
      <c r="D40" s="15">
        <v>0.9</v>
      </c>
      <c r="E40" s="15">
        <v>0.77</v>
      </c>
      <c r="F40" s="15">
        <v>0.4</v>
      </c>
      <c r="G40" s="15">
        <v>0.78</v>
      </c>
    </row>
    <row r="41" spans="1:7" x14ac:dyDescent="0.25">
      <c r="A41" s="47"/>
      <c r="B41" s="1">
        <v>39</v>
      </c>
      <c r="C41" s="15">
        <v>6.2E-4</v>
      </c>
      <c r="D41" s="15">
        <v>0.87</v>
      </c>
      <c r="E41" s="15">
        <v>0.77</v>
      </c>
      <c r="F41" s="15">
        <v>0.4</v>
      </c>
      <c r="G41" s="15">
        <v>0.46</v>
      </c>
    </row>
    <row r="42" spans="1:7" x14ac:dyDescent="0.25">
      <c r="A42" s="47">
        <v>14</v>
      </c>
      <c r="B42" s="1">
        <v>40</v>
      </c>
      <c r="C42" s="15">
        <v>9.0000000000000006E-5</v>
      </c>
      <c r="D42" s="15">
        <v>1</v>
      </c>
      <c r="E42" s="15">
        <v>4.8999999999999998E-4</v>
      </c>
      <c r="F42" s="15">
        <v>0.4</v>
      </c>
      <c r="G42" s="15">
        <v>0.98</v>
      </c>
    </row>
    <row r="43" spans="1:7" x14ac:dyDescent="0.25">
      <c r="A43" s="47"/>
      <c r="B43" s="1">
        <v>41</v>
      </c>
      <c r="C43" s="15">
        <v>1.2E-4</v>
      </c>
      <c r="D43" s="15">
        <v>1</v>
      </c>
      <c r="E43" s="15">
        <v>5.8E-4</v>
      </c>
      <c r="F43" s="15">
        <v>0.4</v>
      </c>
      <c r="G43" s="15">
        <v>0.88</v>
      </c>
    </row>
    <row r="44" spans="1:7" x14ac:dyDescent="0.25">
      <c r="A44" s="47"/>
      <c r="B44" s="1">
        <v>42</v>
      </c>
      <c r="C44" s="15">
        <v>1.8000000000000001E-4</v>
      </c>
      <c r="D44" s="15">
        <v>1</v>
      </c>
      <c r="E44" s="15">
        <v>5.8E-4</v>
      </c>
      <c r="F44" s="15">
        <v>0.28999999999999998</v>
      </c>
      <c r="G44" s="15">
        <v>0.73</v>
      </c>
    </row>
    <row r="45" spans="1:7" x14ac:dyDescent="0.25">
      <c r="A45" s="47">
        <v>15</v>
      </c>
      <c r="B45" s="1">
        <v>43</v>
      </c>
      <c r="C45" s="15">
        <v>1.97E-3</v>
      </c>
      <c r="D45" s="15">
        <v>0.96</v>
      </c>
      <c r="E45" s="15">
        <v>6.7000000000000002E-3</v>
      </c>
      <c r="F45" s="15">
        <v>0.67</v>
      </c>
      <c r="G45" s="15">
        <v>1.01</v>
      </c>
    </row>
    <row r="46" spans="1:7" x14ac:dyDescent="0.25">
      <c r="A46" s="47"/>
      <c r="B46" s="1">
        <v>44</v>
      </c>
      <c r="C46" s="15">
        <v>2.6800000000000001E-3</v>
      </c>
      <c r="D46" s="15">
        <v>0.96</v>
      </c>
      <c r="E46" s="15">
        <v>6.7000000000000002E-3</v>
      </c>
      <c r="F46" s="15">
        <v>0.59</v>
      </c>
      <c r="G46" s="15">
        <v>1.1299999999999999</v>
      </c>
    </row>
    <row r="47" spans="1:7" x14ac:dyDescent="0.25">
      <c r="A47" s="47"/>
      <c r="B47" s="1">
        <v>45</v>
      </c>
      <c r="C47" s="15">
        <v>2.5799999999999998E-3</v>
      </c>
      <c r="D47" s="15">
        <v>0.93</v>
      </c>
      <c r="E47" s="15">
        <v>6.62E-3</v>
      </c>
      <c r="F47" s="15">
        <v>0.62</v>
      </c>
      <c r="G47" s="15">
        <v>0.77</v>
      </c>
    </row>
    <row r="48" spans="1:7" x14ac:dyDescent="0.25">
      <c r="A48" s="47">
        <v>16</v>
      </c>
      <c r="B48" s="1">
        <v>46</v>
      </c>
      <c r="C48" s="15">
        <v>1.4999999999999999E-4</v>
      </c>
      <c r="D48" s="15">
        <v>1</v>
      </c>
      <c r="E48" s="15">
        <v>5.2999999999999998E-4</v>
      </c>
      <c r="F48" s="15">
        <v>0.4</v>
      </c>
      <c r="G48" s="15">
        <v>1.04</v>
      </c>
    </row>
    <row r="49" spans="1:7" x14ac:dyDescent="0.25">
      <c r="A49" s="47"/>
      <c r="B49" s="1">
        <v>47</v>
      </c>
      <c r="C49" s="15">
        <v>1.3999999999999999E-4</v>
      </c>
      <c r="D49" s="15">
        <v>0.97</v>
      </c>
      <c r="E49" s="15">
        <v>1.1000000000000001E-3</v>
      </c>
      <c r="F49" s="15">
        <v>0.4</v>
      </c>
      <c r="G49" s="15">
        <v>0.83</v>
      </c>
    </row>
    <row r="50" spans="1:7" x14ac:dyDescent="0.25">
      <c r="A50" s="47"/>
      <c r="B50" s="1">
        <v>48</v>
      </c>
      <c r="C50" s="15">
        <v>1.6000000000000001E-4</v>
      </c>
      <c r="D50" s="15">
        <v>0.74</v>
      </c>
      <c r="E50" s="15">
        <v>3.4999999999999997E-5</v>
      </c>
      <c r="F50" s="15">
        <v>0.4</v>
      </c>
      <c r="G50" s="15">
        <v>0.57999999999999996</v>
      </c>
    </row>
    <row r="51" spans="1:7" x14ac:dyDescent="0.25">
      <c r="A51" s="47">
        <v>17</v>
      </c>
      <c r="B51" s="1">
        <v>49</v>
      </c>
      <c r="C51" s="15">
        <v>2.1000000000000001E-4</v>
      </c>
      <c r="D51" s="15">
        <v>0.73</v>
      </c>
      <c r="E51" s="15">
        <v>1.2999999999999999E-5</v>
      </c>
      <c r="F51" s="15">
        <v>0.28000000000000003</v>
      </c>
      <c r="G51" s="15">
        <v>1.48</v>
      </c>
    </row>
    <row r="52" spans="1:7" x14ac:dyDescent="0.25">
      <c r="A52" s="47"/>
      <c r="B52" s="1">
        <v>50</v>
      </c>
      <c r="C52" s="15">
        <v>1.7000000000000001E-4</v>
      </c>
      <c r="D52" s="15">
        <v>0.74</v>
      </c>
      <c r="E52" s="15">
        <v>1.2999999999999999E-5</v>
      </c>
      <c r="F52" s="15">
        <v>0.32</v>
      </c>
      <c r="G52" s="15">
        <v>1.28</v>
      </c>
    </row>
    <row r="53" spans="1:7" x14ac:dyDescent="0.25">
      <c r="A53" s="47"/>
      <c r="B53" s="1">
        <v>51</v>
      </c>
      <c r="C53" s="15">
        <v>3.4000000000000002E-4</v>
      </c>
      <c r="D53" s="15">
        <v>0.74</v>
      </c>
      <c r="E53" s="15">
        <v>1.2999999999999999E-5</v>
      </c>
      <c r="F53" s="15">
        <v>1</v>
      </c>
      <c r="G53" s="15">
        <v>1.55</v>
      </c>
    </row>
    <row r="54" spans="1:7" x14ac:dyDescent="0.25">
      <c r="A54" s="47">
        <v>18</v>
      </c>
      <c r="B54" s="1">
        <v>52</v>
      </c>
      <c r="C54" s="15">
        <v>3.6999999999999999E-4</v>
      </c>
      <c r="D54" s="15">
        <v>0.99</v>
      </c>
      <c r="E54" s="15">
        <v>1.2999999999999999E-3</v>
      </c>
      <c r="F54" s="15">
        <v>0.48</v>
      </c>
      <c r="G54" s="15">
        <v>6</v>
      </c>
    </row>
    <row r="55" spans="1:7" x14ac:dyDescent="0.25">
      <c r="A55" s="47"/>
      <c r="B55" s="1">
        <v>53</v>
      </c>
      <c r="C55" s="15">
        <v>3.1300000000000002E-4</v>
      </c>
      <c r="D55" s="15">
        <v>0.99</v>
      </c>
      <c r="E55" s="15">
        <v>2.9999999999999997E-4</v>
      </c>
      <c r="F55" s="15">
        <v>0.5</v>
      </c>
      <c r="G55" s="15">
        <v>4.91</v>
      </c>
    </row>
    <row r="56" spans="1:7" x14ac:dyDescent="0.25">
      <c r="A56" s="47"/>
      <c r="B56" s="1">
        <v>54</v>
      </c>
      <c r="C56" s="15">
        <v>1.15E-4</v>
      </c>
      <c r="D56" s="15">
        <v>0.98</v>
      </c>
      <c r="E56" s="15">
        <v>1.98E-3</v>
      </c>
      <c r="F56" s="15">
        <v>0.6</v>
      </c>
      <c r="G56" s="15">
        <v>6.39</v>
      </c>
    </row>
    <row r="57" spans="1:7" x14ac:dyDescent="0.25">
      <c r="A57" s="47">
        <v>19</v>
      </c>
      <c r="B57" s="1">
        <v>55</v>
      </c>
      <c r="C57" s="15">
        <v>4.0000000000000003E-5</v>
      </c>
      <c r="D57" s="15">
        <v>0.99</v>
      </c>
      <c r="E57" s="15">
        <v>4.0000000000000002E-4</v>
      </c>
      <c r="F57" s="15">
        <v>0.45</v>
      </c>
      <c r="G57" s="15">
        <v>5.09</v>
      </c>
    </row>
    <row r="58" spans="1:7" x14ac:dyDescent="0.25">
      <c r="A58" s="47"/>
      <c r="B58" s="1">
        <v>56</v>
      </c>
      <c r="C58" s="15">
        <v>9.0000000000000006E-5</v>
      </c>
      <c r="D58" s="15">
        <v>0.99</v>
      </c>
      <c r="E58" s="15">
        <v>2.4000000000000001E-4</v>
      </c>
      <c r="F58" s="15">
        <v>0.45</v>
      </c>
      <c r="G58" s="15">
        <v>4.91</v>
      </c>
    </row>
    <row r="59" spans="1:7" x14ac:dyDescent="0.25">
      <c r="A59" s="47"/>
      <c r="B59" s="1">
        <v>57</v>
      </c>
      <c r="C59" s="15">
        <v>1.2E-4</v>
      </c>
      <c r="D59" s="15">
        <v>0.98</v>
      </c>
      <c r="E59" s="15">
        <v>2.5000000000000001E-4</v>
      </c>
      <c r="F59" s="15">
        <v>0.6</v>
      </c>
      <c r="G59" s="15">
        <v>5.94</v>
      </c>
    </row>
    <row r="60" spans="1:7" x14ac:dyDescent="0.25">
      <c r="A60" s="47">
        <v>20</v>
      </c>
      <c r="B60" s="1">
        <v>58</v>
      </c>
      <c r="C60" s="15">
        <v>0.10036</v>
      </c>
      <c r="D60" s="15">
        <v>0.77</v>
      </c>
      <c r="E60" s="15">
        <v>2.545E-2</v>
      </c>
      <c r="F60" s="15">
        <v>0.32</v>
      </c>
      <c r="G60" s="15">
        <v>0.56999999999999995</v>
      </c>
    </row>
    <row r="61" spans="1:7" x14ac:dyDescent="0.25">
      <c r="A61" s="47"/>
      <c r="B61" s="1">
        <v>59</v>
      </c>
      <c r="C61" s="15">
        <v>0.10036</v>
      </c>
      <c r="D61" s="15">
        <v>0.78</v>
      </c>
      <c r="E61" s="15">
        <v>2.545E-2</v>
      </c>
      <c r="F61" s="15">
        <v>0.31</v>
      </c>
      <c r="G61" s="15">
        <v>0.51</v>
      </c>
    </row>
    <row r="62" spans="1:7" x14ac:dyDescent="0.25">
      <c r="A62" s="47"/>
      <c r="B62" s="1">
        <v>60</v>
      </c>
      <c r="C62" s="15">
        <v>7.4291999999999997E-2</v>
      </c>
      <c r="D62" s="15">
        <v>0.78</v>
      </c>
      <c r="E62" s="15">
        <v>4.15E-4</v>
      </c>
      <c r="F62" s="15">
        <v>0.33</v>
      </c>
      <c r="G62" s="15">
        <v>0.46</v>
      </c>
    </row>
    <row r="63" spans="1:7" x14ac:dyDescent="0.25">
      <c r="A63" s="47">
        <v>21</v>
      </c>
      <c r="B63" s="1">
        <v>61</v>
      </c>
      <c r="C63" s="15">
        <v>14.94</v>
      </c>
      <c r="D63" s="15">
        <v>10.5</v>
      </c>
      <c r="E63" s="15">
        <v>1.84</v>
      </c>
      <c r="F63" s="15">
        <v>0.81967213114754101</v>
      </c>
      <c r="G63" s="15">
        <v>2.0687997749286908</v>
      </c>
    </row>
    <row r="64" spans="1:7" x14ac:dyDescent="0.25">
      <c r="A64" s="47"/>
      <c r="B64" s="1">
        <v>62</v>
      </c>
      <c r="C64" s="15">
        <v>14.26</v>
      </c>
      <c r="D64" s="15">
        <v>10.83</v>
      </c>
      <c r="E64" s="15">
        <v>1.86</v>
      </c>
      <c r="F64" s="15">
        <v>0.78431372549019607</v>
      </c>
      <c r="G64" s="15">
        <v>1.7513993819319085</v>
      </c>
    </row>
    <row r="65" spans="1:7" x14ac:dyDescent="0.25">
      <c r="A65" s="47"/>
      <c r="B65" s="1">
        <v>63</v>
      </c>
      <c r="C65" s="15">
        <v>12.66</v>
      </c>
      <c r="D65" s="15">
        <v>8.7800000000000011</v>
      </c>
      <c r="E65" s="15">
        <v>1.88</v>
      </c>
      <c r="F65" s="15">
        <v>0.3125</v>
      </c>
      <c r="G65" s="15">
        <v>1.5361229814144408</v>
      </c>
    </row>
    <row r="66" spans="1:7" x14ac:dyDescent="0.25">
      <c r="A66" s="47">
        <v>22</v>
      </c>
      <c r="B66" s="1">
        <v>64</v>
      </c>
      <c r="C66" s="15">
        <v>79.930000000000007</v>
      </c>
      <c r="D66" s="15">
        <v>7.1000000000000014</v>
      </c>
      <c r="E66" s="15">
        <v>0.09</v>
      </c>
      <c r="F66" s="15">
        <v>0.22</v>
      </c>
      <c r="G66" s="15">
        <v>3.5235993825174017</v>
      </c>
    </row>
    <row r="67" spans="1:7" x14ac:dyDescent="0.25">
      <c r="A67" s="47"/>
      <c r="B67" s="1">
        <v>65</v>
      </c>
      <c r="C67" s="15">
        <v>79.930000000000007</v>
      </c>
      <c r="D67" s="15">
        <v>11.29</v>
      </c>
      <c r="E67" s="15">
        <v>0.03</v>
      </c>
      <c r="F67" s="15">
        <v>0.18</v>
      </c>
      <c r="G67" s="15">
        <v>4.3256119522636141</v>
      </c>
    </row>
    <row r="68" spans="1:7" x14ac:dyDescent="0.25">
      <c r="A68" s="47"/>
      <c r="B68" s="1">
        <v>66</v>
      </c>
      <c r="C68" s="15">
        <v>80.06</v>
      </c>
      <c r="D68" s="15">
        <v>8.17</v>
      </c>
      <c r="E68" s="15">
        <v>0.03</v>
      </c>
      <c r="F68" s="15">
        <v>0.17</v>
      </c>
      <c r="G68" s="15">
        <v>4.2336804809151349</v>
      </c>
    </row>
    <row r="69" spans="1:7" x14ac:dyDescent="0.25">
      <c r="A69" s="47">
        <v>23</v>
      </c>
      <c r="B69" s="1">
        <v>67</v>
      </c>
      <c r="C69" s="30">
        <v>93.04</v>
      </c>
      <c r="D69" s="30">
        <v>5.81</v>
      </c>
      <c r="E69" s="30">
        <v>1E-4</v>
      </c>
      <c r="F69" s="30">
        <v>0.38525963149078729</v>
      </c>
      <c r="G69" s="30">
        <v>1.576224249429246</v>
      </c>
    </row>
    <row r="70" spans="1:7" x14ac:dyDescent="0.25">
      <c r="A70" s="47"/>
      <c r="B70" s="1">
        <v>68</v>
      </c>
      <c r="C70" s="30">
        <v>93.1</v>
      </c>
      <c r="D70" s="30">
        <v>5.6</v>
      </c>
      <c r="E70" s="30">
        <v>1E-4</v>
      </c>
      <c r="F70" s="30">
        <v>0.79979360165118674</v>
      </c>
      <c r="G70" s="30">
        <v>2.9094870331712568</v>
      </c>
    </row>
    <row r="71" spans="1:7" x14ac:dyDescent="0.25">
      <c r="A71" s="47"/>
      <c r="B71" s="1">
        <v>69</v>
      </c>
      <c r="C71" s="30">
        <v>98.26</v>
      </c>
      <c r="D71" s="30">
        <v>0.01</v>
      </c>
      <c r="E71" s="27" t="s">
        <v>50</v>
      </c>
      <c r="F71" s="30">
        <v>0.99</v>
      </c>
      <c r="G71" s="30">
        <v>3.1592059955438527</v>
      </c>
    </row>
    <row r="72" spans="1:7" x14ac:dyDescent="0.25">
      <c r="A72" s="47">
        <v>24</v>
      </c>
      <c r="B72" s="1">
        <v>70</v>
      </c>
      <c r="C72" s="46">
        <v>4.3</v>
      </c>
      <c r="D72" s="46">
        <v>93.19</v>
      </c>
      <c r="E72" s="46">
        <v>2.5</v>
      </c>
      <c r="F72" s="46">
        <v>0.58333333333333337</v>
      </c>
      <c r="G72" s="46">
        <v>0.40204549596690803</v>
      </c>
    </row>
    <row r="73" spans="1:7" x14ac:dyDescent="0.25">
      <c r="A73" s="47"/>
      <c r="B73" s="1">
        <v>71</v>
      </c>
      <c r="C73" s="46">
        <v>4.32</v>
      </c>
      <c r="D73" s="46">
        <v>93.28</v>
      </c>
      <c r="E73" s="46">
        <v>2.52</v>
      </c>
      <c r="F73" s="46">
        <v>0.54040404040404044</v>
      </c>
      <c r="G73" s="46">
        <v>0.40111029333855264</v>
      </c>
    </row>
    <row r="74" spans="1:7" x14ac:dyDescent="0.25">
      <c r="A74" s="47"/>
      <c r="B74" s="1">
        <v>72</v>
      </c>
      <c r="C74" s="46">
        <v>4.32</v>
      </c>
      <c r="D74" s="46">
        <v>93.35</v>
      </c>
      <c r="E74" s="46">
        <v>2.4</v>
      </c>
      <c r="F74" s="46">
        <v>0.73793103448275865</v>
      </c>
      <c r="G74" s="46">
        <v>0.49795003479122169</v>
      </c>
    </row>
    <row r="75" spans="1:7" x14ac:dyDescent="0.25">
      <c r="A75" s="47">
        <v>25</v>
      </c>
      <c r="B75" s="1">
        <v>73</v>
      </c>
      <c r="C75" s="15">
        <v>8.24</v>
      </c>
      <c r="D75" s="46">
        <v>77.08</v>
      </c>
      <c r="E75" s="15">
        <v>3.3</v>
      </c>
      <c r="F75" s="15">
        <v>0.31</v>
      </c>
      <c r="G75" s="15">
        <v>0.86031536931712571</v>
      </c>
    </row>
    <row r="76" spans="1:7" x14ac:dyDescent="0.25">
      <c r="A76" s="47"/>
      <c r="B76" s="1">
        <v>74</v>
      </c>
      <c r="C76" s="15">
        <v>5.0999999999999996</v>
      </c>
      <c r="D76" s="15">
        <v>80.22</v>
      </c>
      <c r="E76" s="15">
        <v>3.3</v>
      </c>
      <c r="F76" s="15">
        <v>0.2</v>
      </c>
      <c r="G76" s="15">
        <v>0.82673633416080783</v>
      </c>
    </row>
    <row r="77" spans="1:7" x14ac:dyDescent="0.25">
      <c r="A77" s="47"/>
      <c r="B77" s="1">
        <v>75</v>
      </c>
      <c r="C77" s="15">
        <v>5.03</v>
      </c>
      <c r="D77" s="15">
        <v>81.5</v>
      </c>
      <c r="E77" s="15">
        <v>0.6100000000000001</v>
      </c>
      <c r="F77" s="15">
        <v>0.2</v>
      </c>
      <c r="G77" s="15">
        <v>0.70152851196037969</v>
      </c>
    </row>
    <row r="78" spans="1:7" x14ac:dyDescent="0.25">
      <c r="A78" s="47">
        <v>26</v>
      </c>
      <c r="B78" s="1">
        <v>76</v>
      </c>
      <c r="C78" s="15">
        <v>28.81</v>
      </c>
      <c r="D78" s="15">
        <v>3.62</v>
      </c>
      <c r="E78" s="15">
        <v>1.0000000000000001E-5</v>
      </c>
      <c r="F78" s="15">
        <v>0.5</v>
      </c>
      <c r="G78" s="15">
        <v>0.25633337268327233</v>
      </c>
    </row>
    <row r="79" spans="1:7" x14ac:dyDescent="0.25">
      <c r="A79" s="47"/>
      <c r="B79" s="1">
        <v>77</v>
      </c>
      <c r="C79" s="15">
        <v>35.97</v>
      </c>
      <c r="D79" s="15">
        <v>2.86</v>
      </c>
      <c r="E79" s="15">
        <v>1.0000000000000001E-5</v>
      </c>
      <c r="F79" s="15">
        <v>0.5</v>
      </c>
      <c r="G79" s="15">
        <v>0.24832894043226147</v>
      </c>
    </row>
    <row r="80" spans="1:7" x14ac:dyDescent="0.25">
      <c r="A80" s="47"/>
      <c r="B80" s="1">
        <v>78</v>
      </c>
      <c r="C80" s="15">
        <v>33.619999999999997</v>
      </c>
      <c r="D80" s="15">
        <v>5.38</v>
      </c>
      <c r="E80" s="15">
        <v>1.0000000000000001E-5</v>
      </c>
      <c r="F80" s="15">
        <v>0.3</v>
      </c>
      <c r="G80" s="15">
        <v>0.38772930948642337</v>
      </c>
    </row>
    <row r="81" spans="1:7" x14ac:dyDescent="0.25">
      <c r="A81" s="47">
        <v>27</v>
      </c>
      <c r="B81" s="1">
        <v>79</v>
      </c>
      <c r="C81" s="15">
        <v>84.32</v>
      </c>
      <c r="D81" s="15">
        <v>0.18</v>
      </c>
      <c r="E81" s="15">
        <v>7.63</v>
      </c>
      <c r="F81" s="15">
        <v>0.35</v>
      </c>
      <c r="G81" s="15">
        <v>1.1660907562823692</v>
      </c>
    </row>
    <row r="82" spans="1:7" x14ac:dyDescent="0.25">
      <c r="A82" s="47"/>
      <c r="B82" s="1">
        <v>80</v>
      </c>
      <c r="C82" s="15">
        <v>84.32</v>
      </c>
      <c r="D82" s="15">
        <v>7.8199999999999985</v>
      </c>
      <c r="E82" s="15">
        <v>7.63</v>
      </c>
      <c r="F82" s="15">
        <v>0.36</v>
      </c>
      <c r="G82" s="15">
        <v>1.0576252448743881</v>
      </c>
    </row>
    <row r="83" spans="1:7" x14ac:dyDescent="0.25">
      <c r="A83" s="47"/>
      <c r="B83" s="1">
        <v>81</v>
      </c>
      <c r="C83" s="15">
        <v>84.32</v>
      </c>
      <c r="D83" s="15">
        <v>7.8199999999999985</v>
      </c>
      <c r="E83" s="15">
        <v>7.62</v>
      </c>
      <c r="F83" s="15">
        <v>0.43</v>
      </c>
      <c r="G83" s="15">
        <v>0.78612867601475167</v>
      </c>
    </row>
    <row r="84" spans="1:7" x14ac:dyDescent="0.25">
      <c r="A84" s="47">
        <v>28</v>
      </c>
      <c r="B84" s="1">
        <v>82</v>
      </c>
      <c r="C84" s="15">
        <v>21.75</v>
      </c>
      <c r="D84" s="15">
        <v>57.83</v>
      </c>
      <c r="E84" s="15">
        <v>11.91</v>
      </c>
      <c r="F84" s="15">
        <v>0.48</v>
      </c>
      <c r="G84" s="15">
        <v>0.64094817569137807</v>
      </c>
    </row>
    <row r="85" spans="1:7" x14ac:dyDescent="0.25">
      <c r="A85" s="47"/>
      <c r="B85" s="1">
        <v>83</v>
      </c>
      <c r="C85" s="44">
        <v>19.54</v>
      </c>
      <c r="D85" s="15">
        <v>60.180000000000007</v>
      </c>
      <c r="E85" s="15">
        <v>11.91</v>
      </c>
      <c r="F85" s="15">
        <v>0.34</v>
      </c>
      <c r="G85" s="15">
        <v>0.81195079086115995</v>
      </c>
    </row>
    <row r="86" spans="1:7" x14ac:dyDescent="0.25">
      <c r="A86" s="47"/>
      <c r="B86" s="1">
        <v>84</v>
      </c>
      <c r="C86" s="15">
        <v>17.25</v>
      </c>
      <c r="D86" s="15">
        <v>61.05</v>
      </c>
      <c r="E86" s="15">
        <v>12.34</v>
      </c>
      <c r="F86" s="15">
        <v>0.4</v>
      </c>
      <c r="G86" s="15">
        <v>0.61487854251012142</v>
      </c>
    </row>
    <row r="87" spans="1:7" x14ac:dyDescent="0.25">
      <c r="A87" s="47">
        <v>29</v>
      </c>
      <c r="B87" s="1">
        <v>85</v>
      </c>
      <c r="C87" s="15">
        <v>35.229999999999997</v>
      </c>
      <c r="D87" s="15">
        <v>55.44</v>
      </c>
      <c r="E87" s="15">
        <v>1.5499999999999998</v>
      </c>
      <c r="F87" s="44">
        <v>0.22988505747126436</v>
      </c>
      <c r="G87" s="15">
        <v>2.6835487086289822</v>
      </c>
    </row>
    <row r="88" spans="1:7" x14ac:dyDescent="0.25">
      <c r="A88" s="47"/>
      <c r="B88" s="1">
        <v>86</v>
      </c>
      <c r="C88" s="15">
        <v>35.229999999999997</v>
      </c>
      <c r="D88" s="15">
        <v>55.44</v>
      </c>
      <c r="E88" s="15">
        <v>1.5499999999999998</v>
      </c>
      <c r="F88" s="15">
        <v>9.8544232922732372E-2</v>
      </c>
      <c r="G88" s="15">
        <v>2.4850730799774037</v>
      </c>
    </row>
    <row r="89" spans="1:7" x14ac:dyDescent="0.25">
      <c r="A89" s="47"/>
      <c r="B89" s="1">
        <v>87</v>
      </c>
      <c r="C89" s="15">
        <v>35.229999999999997</v>
      </c>
      <c r="D89" s="15">
        <v>52.55</v>
      </c>
      <c r="E89" s="15">
        <v>1.5699999999999998</v>
      </c>
      <c r="F89" s="15">
        <v>14.49</v>
      </c>
      <c r="G89" s="15">
        <v>2.678043190979464</v>
      </c>
    </row>
    <row r="90" spans="1:7" x14ac:dyDescent="0.25">
      <c r="A90" s="47">
        <v>30</v>
      </c>
      <c r="B90" s="1">
        <v>88</v>
      </c>
      <c r="C90" s="46">
        <v>2.38</v>
      </c>
      <c r="D90" s="46">
        <v>96.43</v>
      </c>
      <c r="E90" s="46">
        <v>1E-4</v>
      </c>
      <c r="F90" s="49">
        <v>0.98</v>
      </c>
      <c r="G90" s="46">
        <v>0.31800441201425422</v>
      </c>
    </row>
    <row r="91" spans="1:7" x14ac:dyDescent="0.25">
      <c r="A91" s="47"/>
      <c r="B91" s="1">
        <v>89</v>
      </c>
      <c r="C91" s="46">
        <v>2.2999999999999998</v>
      </c>
      <c r="D91" s="46">
        <v>0.95454657075748128</v>
      </c>
      <c r="E91" s="46">
        <v>1E-4</v>
      </c>
      <c r="F91" s="46">
        <v>1</v>
      </c>
      <c r="G91" s="46">
        <v>0.41529443838604146</v>
      </c>
    </row>
    <row r="92" spans="1:7" x14ac:dyDescent="0.25">
      <c r="A92" s="47"/>
      <c r="B92" s="1">
        <v>90</v>
      </c>
      <c r="C92" s="46">
        <v>1.28</v>
      </c>
      <c r="D92" s="46">
        <v>94.97</v>
      </c>
      <c r="E92" s="46">
        <v>1E-4</v>
      </c>
      <c r="F92" s="46">
        <v>1.01</v>
      </c>
      <c r="G92" s="46">
        <v>0.6426044112297874</v>
      </c>
    </row>
    <row r="93" spans="1:7" x14ac:dyDescent="0.25">
      <c r="A93" s="47">
        <v>31</v>
      </c>
      <c r="B93" s="1">
        <v>91</v>
      </c>
      <c r="C93" s="46">
        <v>6.1740000000000004</v>
      </c>
      <c r="D93" s="46">
        <v>69.55</v>
      </c>
      <c r="E93" s="46">
        <v>4.4999999999999997E-3</v>
      </c>
      <c r="F93" s="46">
        <v>0.48</v>
      </c>
      <c r="G93" s="46">
        <v>0.39176829268292684</v>
      </c>
    </row>
    <row r="94" spans="1:7" x14ac:dyDescent="0.25">
      <c r="A94" s="47"/>
      <c r="B94" s="1">
        <v>92</v>
      </c>
      <c r="C94" s="46">
        <v>5.28</v>
      </c>
      <c r="D94" s="46">
        <v>69.06</v>
      </c>
      <c r="E94" s="49">
        <v>5.0000000000000001E-3</v>
      </c>
      <c r="F94" s="46">
        <v>0.84</v>
      </c>
      <c r="G94" s="46">
        <v>0.72357723577235777</v>
      </c>
    </row>
    <row r="95" spans="1:7" x14ac:dyDescent="0.25">
      <c r="A95" s="47"/>
      <c r="B95" s="1">
        <v>93</v>
      </c>
      <c r="C95" s="46">
        <v>2.742</v>
      </c>
      <c r="D95" s="46">
        <v>67.209999999999994</v>
      </c>
      <c r="E95" s="46">
        <v>8.0000000000000002E-3</v>
      </c>
      <c r="F95" s="46">
        <v>0.56000000000000005</v>
      </c>
      <c r="G95" s="46">
        <v>1.1658144631117604</v>
      </c>
    </row>
    <row r="96" spans="1:7" x14ac:dyDescent="0.25">
      <c r="A96" s="47">
        <v>32</v>
      </c>
      <c r="B96" s="1">
        <v>94</v>
      </c>
      <c r="C96" s="46">
        <v>0.86</v>
      </c>
      <c r="D96" s="46">
        <v>96.580000000000013</v>
      </c>
      <c r="E96" s="46">
        <v>2.5000000000000001E-2</v>
      </c>
      <c r="F96" s="46">
        <v>0.33195020746887965</v>
      </c>
      <c r="G96" s="46">
        <v>0.64189383070301287</v>
      </c>
    </row>
    <row r="97" spans="1:7" x14ac:dyDescent="0.25">
      <c r="A97" s="47"/>
      <c r="B97" s="1">
        <v>95</v>
      </c>
      <c r="C97" s="46">
        <v>0.76</v>
      </c>
      <c r="D97" s="46">
        <v>97.17</v>
      </c>
      <c r="E97" s="46">
        <v>2.7E-2</v>
      </c>
      <c r="F97" s="46">
        <v>0.42323651452282157</v>
      </c>
      <c r="G97" s="46">
        <v>0.53536099005564985</v>
      </c>
    </row>
    <row r="98" spans="1:7" x14ac:dyDescent="0.25">
      <c r="A98" s="47"/>
      <c r="B98" s="1">
        <v>96</v>
      </c>
      <c r="C98" s="46">
        <v>0.86</v>
      </c>
      <c r="D98" s="46">
        <v>97.570000000000007</v>
      </c>
      <c r="E98" s="46">
        <v>2.3E-2</v>
      </c>
      <c r="F98" s="46">
        <v>0.44755244755244755</v>
      </c>
      <c r="G98" s="46">
        <v>0.52448158155549929</v>
      </c>
    </row>
    <row r="99" spans="1:7" x14ac:dyDescent="0.25">
      <c r="A99" s="47">
        <v>33</v>
      </c>
      <c r="B99" s="1">
        <v>97</v>
      </c>
      <c r="C99" s="15">
        <v>86.06</v>
      </c>
      <c r="D99" s="15">
        <v>7.29</v>
      </c>
      <c r="E99" s="15">
        <v>9.5219999999999999E-2</v>
      </c>
      <c r="F99" s="15">
        <v>1</v>
      </c>
      <c r="G99" s="15">
        <v>0.4876812647777905</v>
      </c>
    </row>
    <row r="100" spans="1:7" x14ac:dyDescent="0.25">
      <c r="A100" s="47"/>
      <c r="B100" s="1">
        <v>98</v>
      </c>
      <c r="C100" s="15">
        <v>83.96</v>
      </c>
      <c r="D100" s="15">
        <v>6.89</v>
      </c>
      <c r="E100" s="15">
        <v>9.5230000000000009E-2</v>
      </c>
      <c r="F100" s="15">
        <v>0.8</v>
      </c>
      <c r="G100" s="15">
        <v>0.36697438564555973</v>
      </c>
    </row>
    <row r="101" spans="1:7" x14ac:dyDescent="0.25">
      <c r="A101" s="47"/>
      <c r="B101" s="1">
        <v>99</v>
      </c>
      <c r="C101" s="15">
        <v>78.989999999999995</v>
      </c>
      <c r="D101" s="15">
        <v>4.79</v>
      </c>
      <c r="E101" s="15">
        <v>0.12</v>
      </c>
      <c r="F101" s="15">
        <v>0.76</v>
      </c>
      <c r="G101" s="15">
        <v>0.3690685226104527</v>
      </c>
    </row>
    <row r="102" spans="1:7" x14ac:dyDescent="0.25">
      <c r="A102" s="47">
        <v>34</v>
      </c>
      <c r="B102" s="1">
        <v>100</v>
      </c>
      <c r="C102" s="44">
        <v>0.1</v>
      </c>
      <c r="D102" s="44">
        <v>0.14000000000000001</v>
      </c>
      <c r="E102" s="44">
        <v>0.57999999999999996</v>
      </c>
      <c r="F102" s="44">
        <v>0.35</v>
      </c>
      <c r="G102" s="44">
        <v>2.64</v>
      </c>
    </row>
    <row r="103" spans="1:7" x14ac:dyDescent="0.25">
      <c r="A103" s="47"/>
      <c r="B103" s="1">
        <v>101</v>
      </c>
      <c r="C103" s="44">
        <v>0.1</v>
      </c>
      <c r="D103" s="44">
        <v>0.14000000000000001</v>
      </c>
      <c r="E103" s="44">
        <v>0.57999999999999996</v>
      </c>
      <c r="F103" s="44">
        <v>0.24</v>
      </c>
      <c r="G103" s="44">
        <v>2.4900000000000002</v>
      </c>
    </row>
    <row r="104" spans="1:7" x14ac:dyDescent="0.25">
      <c r="A104" s="47"/>
      <c r="B104" s="1">
        <v>102</v>
      </c>
      <c r="C104" s="44">
        <v>0.1</v>
      </c>
      <c r="D104" s="44">
        <v>0.11</v>
      </c>
      <c r="E104" s="44">
        <v>0.62</v>
      </c>
      <c r="F104" s="44">
        <v>0.26</v>
      </c>
      <c r="G104" s="44">
        <v>2.0099999999999998</v>
      </c>
    </row>
    <row r="105" spans="1:7" x14ac:dyDescent="0.25">
      <c r="A105" s="47">
        <v>35</v>
      </c>
      <c r="B105" s="1">
        <v>103</v>
      </c>
      <c r="C105" s="44">
        <v>0.02</v>
      </c>
      <c r="D105" s="44">
        <v>0.72</v>
      </c>
      <c r="E105" s="44">
        <v>4.0000000000000001E-3</v>
      </c>
      <c r="F105" s="44">
        <v>0.67</v>
      </c>
      <c r="G105" s="44">
        <v>0.96</v>
      </c>
    </row>
    <row r="106" spans="1:7" x14ac:dyDescent="0.25">
      <c r="A106" s="47"/>
      <c r="B106" s="1">
        <v>104</v>
      </c>
      <c r="C106" s="44">
        <v>0.01</v>
      </c>
      <c r="D106" s="44">
        <v>0.72</v>
      </c>
      <c r="E106" s="44">
        <v>4.0000000000000001E-3</v>
      </c>
      <c r="F106" s="44">
        <v>0.8</v>
      </c>
      <c r="G106" s="44">
        <v>1.2</v>
      </c>
    </row>
    <row r="107" spans="1:7" x14ac:dyDescent="0.25">
      <c r="A107" s="47"/>
      <c r="B107" s="1">
        <v>105</v>
      </c>
      <c r="C107" s="44">
        <v>5.0000000000000001E-3</v>
      </c>
      <c r="D107" s="44">
        <v>0.72</v>
      </c>
      <c r="E107" s="44">
        <v>5.0000000000000001E-3</v>
      </c>
      <c r="F107" s="44">
        <v>0.54</v>
      </c>
      <c r="G107" s="44">
        <v>1.37</v>
      </c>
    </row>
    <row r="108" spans="1:7" x14ac:dyDescent="0.25">
      <c r="A108" s="47">
        <v>36</v>
      </c>
      <c r="B108" s="1">
        <v>106</v>
      </c>
      <c r="C108" s="44">
        <v>0.17</v>
      </c>
      <c r="D108" s="44">
        <v>0.7</v>
      </c>
      <c r="E108" s="44">
        <v>0.11</v>
      </c>
      <c r="F108" s="44">
        <v>0.25</v>
      </c>
      <c r="G108" s="44">
        <v>0.64</v>
      </c>
    </row>
    <row r="109" spans="1:7" x14ac:dyDescent="0.25">
      <c r="A109" s="47"/>
      <c r="B109" s="1">
        <v>107</v>
      </c>
      <c r="C109" s="44">
        <v>0.16</v>
      </c>
      <c r="D109" s="44">
        <v>0.72</v>
      </c>
      <c r="E109" s="44">
        <v>0.1</v>
      </c>
      <c r="F109" s="44">
        <v>0.08</v>
      </c>
      <c r="G109" s="44">
        <v>0.74</v>
      </c>
    </row>
    <row r="110" spans="1:7" x14ac:dyDescent="0.25">
      <c r="A110" s="47"/>
      <c r="B110" s="1">
        <v>108</v>
      </c>
      <c r="C110" s="44">
        <v>0.14000000000000001</v>
      </c>
      <c r="D110" s="44">
        <v>0.71</v>
      </c>
      <c r="E110" s="44">
        <v>0.12</v>
      </c>
      <c r="F110" s="44">
        <v>1.35</v>
      </c>
      <c r="G110" s="44">
        <v>1.03</v>
      </c>
    </row>
  </sheetData>
  <mergeCells count="36">
    <mergeCell ref="A93:A95"/>
    <mergeCell ref="A96:A98"/>
    <mergeCell ref="A99:A101"/>
    <mergeCell ref="A102:A104"/>
    <mergeCell ref="A105:A107"/>
    <mergeCell ref="A108:A110"/>
    <mergeCell ref="A75:A77"/>
    <mergeCell ref="A78:A80"/>
    <mergeCell ref="A81:A83"/>
    <mergeCell ref="A84:A86"/>
    <mergeCell ref="A87:A89"/>
    <mergeCell ref="A90:A92"/>
    <mergeCell ref="A57:A59"/>
    <mergeCell ref="A60:A62"/>
    <mergeCell ref="A63:A65"/>
    <mergeCell ref="A66:A68"/>
    <mergeCell ref="A69:A71"/>
    <mergeCell ref="A72:A74"/>
    <mergeCell ref="A39:A41"/>
    <mergeCell ref="A42:A44"/>
    <mergeCell ref="A45:A47"/>
    <mergeCell ref="A48:A50"/>
    <mergeCell ref="A51:A53"/>
    <mergeCell ref="A54:A56"/>
    <mergeCell ref="A21:A23"/>
    <mergeCell ref="A24:A26"/>
    <mergeCell ref="A27:A29"/>
    <mergeCell ref="A30:A32"/>
    <mergeCell ref="A33:A35"/>
    <mergeCell ref="A36:A38"/>
    <mergeCell ref="A3:A5"/>
    <mergeCell ref="A6:A8"/>
    <mergeCell ref="A9:A11"/>
    <mergeCell ref="A12:A14"/>
    <mergeCell ref="A15:A17"/>
    <mergeCell ref="A18:A20"/>
  </mergeCells>
  <pageMargins left="0.7" right="0.7" top="0.75" bottom="0.75" header="0.3" footer="0.3"/>
  <pageSetup orientation="portrait" horizontalDpi="30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FB15FA-DB38-4260-A578-5DF395390CD8}">
  <dimension ref="B4:J112"/>
  <sheetViews>
    <sheetView topLeftCell="A103" workbookViewId="0">
      <selection activeCell="D3" sqref="D3"/>
    </sheetView>
  </sheetViews>
  <sheetFormatPr defaultRowHeight="15" x14ac:dyDescent="0.25"/>
  <cols>
    <col min="3" max="3" width="8.5703125" bestFit="1" customWidth="1"/>
    <col min="5" max="5" width="9.5703125" bestFit="1" customWidth="1"/>
    <col min="9" max="9" width="11.5703125" bestFit="1" customWidth="1"/>
  </cols>
  <sheetData>
    <row r="4" spans="2:10" x14ac:dyDescent="0.25">
      <c r="C4" s="40" t="s">
        <v>1</v>
      </c>
      <c r="D4" s="40" t="s">
        <v>2</v>
      </c>
      <c r="E4" s="40" t="s">
        <v>3</v>
      </c>
      <c r="F4" s="40" t="s">
        <v>4</v>
      </c>
      <c r="G4" s="3" t="s">
        <v>5</v>
      </c>
      <c r="H4" s="43" t="s">
        <v>60</v>
      </c>
      <c r="I4" s="43" t="s">
        <v>61</v>
      </c>
      <c r="J4" s="43" t="s">
        <v>62</v>
      </c>
    </row>
    <row r="5" spans="2:10" x14ac:dyDescent="0.25">
      <c r="B5">
        <v>1</v>
      </c>
      <c r="C5" s="8">
        <v>37.06</v>
      </c>
      <c r="D5" s="8">
        <f>0.0019+0.104+1.509+3.133+0.0001+0.0014</f>
        <v>4.7493999999999996</v>
      </c>
      <c r="E5" s="14">
        <v>5.0000000000000002E-5</v>
      </c>
      <c r="F5" s="10">
        <f>135/519</f>
        <v>0.26011560693641617</v>
      </c>
      <c r="G5" s="8">
        <v>0.56000000000000005</v>
      </c>
      <c r="H5" s="1">
        <f>G5*C5</f>
        <v>20.753600000000002</v>
      </c>
      <c r="I5" s="42">
        <f>D5*G5</f>
        <v>2.6596640000000003</v>
      </c>
      <c r="J5" s="44">
        <f>E5*G5</f>
        <v>2.8000000000000003E-5</v>
      </c>
    </row>
    <row r="6" spans="2:10" x14ac:dyDescent="0.25">
      <c r="B6">
        <v>2</v>
      </c>
      <c r="C6" s="8">
        <v>72.099999999999994</v>
      </c>
      <c r="D6" s="8">
        <f>0.1+8.6</f>
        <v>8.6999999999999993</v>
      </c>
      <c r="E6" s="14">
        <f>253004/201066667</f>
        <v>1.2583090164815832E-3</v>
      </c>
      <c r="F6" s="8">
        <f>420/500</f>
        <v>0.84</v>
      </c>
      <c r="G6" s="8">
        <v>0.19</v>
      </c>
      <c r="H6" s="1">
        <f t="shared" ref="H6:H8" si="0">G6*C6</f>
        <v>13.699</v>
      </c>
      <c r="I6" s="42">
        <f t="shared" ref="I6:I69" si="1">D6*G6</f>
        <v>1.6529999999999998</v>
      </c>
      <c r="J6" s="44">
        <f t="shared" ref="J6:J69" si="2">E6*G6</f>
        <v>2.3907871313150081E-4</v>
      </c>
    </row>
    <row r="7" spans="2:10" x14ac:dyDescent="0.25">
      <c r="B7">
        <v>3</v>
      </c>
      <c r="C7" s="8">
        <v>36.75</v>
      </c>
      <c r="D7" s="8">
        <f>2.82+2.56+3.2+1.58+0.11+0.87</f>
        <v>11.139999999999999</v>
      </c>
      <c r="E7" s="14">
        <f>8088313/99062216599</f>
        <v>8.1648819072373241E-5</v>
      </c>
      <c r="F7" s="8">
        <f>167/182</f>
        <v>0.91758241758241754</v>
      </c>
      <c r="G7" s="8">
        <v>0.43</v>
      </c>
      <c r="H7" s="1">
        <f t="shared" si="0"/>
        <v>15.8025</v>
      </c>
      <c r="I7" s="42">
        <f t="shared" si="1"/>
        <v>4.7901999999999996</v>
      </c>
      <c r="J7" s="44">
        <f t="shared" si="2"/>
        <v>3.5108992201120496E-5</v>
      </c>
    </row>
    <row r="8" spans="2:10" x14ac:dyDescent="0.25">
      <c r="B8">
        <v>4</v>
      </c>
      <c r="C8" s="8">
        <v>18.79</v>
      </c>
      <c r="D8" s="8">
        <v>64.92</v>
      </c>
      <c r="E8" s="13">
        <f>2.25+1.37+2.049+2.29+0.004</f>
        <v>7.9630000000000001</v>
      </c>
      <c r="F8" s="8">
        <f>52/97</f>
        <v>0.53608247422680411</v>
      </c>
      <c r="G8" s="8">
        <v>0.23</v>
      </c>
      <c r="H8" s="1">
        <f t="shared" si="0"/>
        <v>4.3216999999999999</v>
      </c>
      <c r="I8" s="42">
        <f t="shared" si="1"/>
        <v>14.931600000000001</v>
      </c>
      <c r="J8" s="44">
        <f t="shared" si="2"/>
        <v>1.8314900000000001</v>
      </c>
    </row>
    <row r="9" spans="2:10" x14ac:dyDescent="0.25">
      <c r="B9">
        <v>5</v>
      </c>
      <c r="C9" s="18">
        <v>7.4</v>
      </c>
      <c r="D9" s="8">
        <v>34.5</v>
      </c>
      <c r="E9" s="8">
        <v>0.19</v>
      </c>
      <c r="F9" s="8">
        <f>255/1049</f>
        <v>0.2430886558627264</v>
      </c>
      <c r="G9" s="8">
        <v>4.4400000000000004</v>
      </c>
      <c r="H9" s="1">
        <f>G9*C9</f>
        <v>32.856000000000002</v>
      </c>
      <c r="I9" s="42">
        <f t="shared" si="1"/>
        <v>153.18</v>
      </c>
      <c r="J9" s="44">
        <f t="shared" si="2"/>
        <v>0.84360000000000013</v>
      </c>
    </row>
    <row r="10" spans="2:10" x14ac:dyDescent="0.25">
      <c r="B10">
        <v>6</v>
      </c>
      <c r="C10" s="8">
        <v>92.67</v>
      </c>
      <c r="D10" s="8">
        <v>7.32</v>
      </c>
      <c r="E10" s="8">
        <v>0.03</v>
      </c>
      <c r="F10" s="8">
        <v>0.35</v>
      </c>
      <c r="G10" s="8">
        <v>3.45</v>
      </c>
      <c r="H10" s="1">
        <f t="shared" ref="H10:H73" si="3">G10*C10</f>
        <v>319.7115</v>
      </c>
      <c r="I10" s="42">
        <f t="shared" si="1"/>
        <v>25.254000000000001</v>
      </c>
      <c r="J10" s="44">
        <f t="shared" si="2"/>
        <v>0.10349999999999999</v>
      </c>
    </row>
    <row r="11" spans="2:10" x14ac:dyDescent="0.25">
      <c r="B11">
        <v>7</v>
      </c>
      <c r="C11" s="18">
        <v>80.5</v>
      </c>
      <c r="D11" s="8">
        <v>17.52</v>
      </c>
      <c r="E11" s="15">
        <v>1.0000000000000001E-5</v>
      </c>
      <c r="F11" s="8">
        <f>237/474</f>
        <v>0.5</v>
      </c>
      <c r="G11" s="8">
        <v>0.93</v>
      </c>
      <c r="H11" s="1">
        <f t="shared" si="3"/>
        <v>74.865000000000009</v>
      </c>
      <c r="I11" s="42">
        <f t="shared" si="1"/>
        <v>16.293600000000001</v>
      </c>
      <c r="J11" s="44">
        <f t="shared" si="2"/>
        <v>9.3000000000000007E-6</v>
      </c>
    </row>
    <row r="12" spans="2:10" x14ac:dyDescent="0.25">
      <c r="B12">
        <v>8</v>
      </c>
      <c r="C12" s="8">
        <v>8.0399999999999991</v>
      </c>
      <c r="D12" s="8">
        <v>6.89</v>
      </c>
      <c r="E12" s="8">
        <v>25.34</v>
      </c>
      <c r="F12" s="8">
        <f>27/77</f>
        <v>0.35064935064935066</v>
      </c>
      <c r="G12" s="8">
        <v>1.06</v>
      </c>
      <c r="H12" s="1">
        <f t="shared" si="3"/>
        <v>8.5223999999999993</v>
      </c>
      <c r="I12" s="42">
        <f t="shared" si="1"/>
        <v>7.3033999999999999</v>
      </c>
      <c r="J12" s="44">
        <f t="shared" si="2"/>
        <v>26.860400000000002</v>
      </c>
    </row>
    <row r="13" spans="2:10" x14ac:dyDescent="0.25">
      <c r="B13">
        <v>9</v>
      </c>
      <c r="C13" s="8">
        <v>28.84</v>
      </c>
      <c r="D13" s="8">
        <v>11</v>
      </c>
      <c r="E13" s="15">
        <v>1.0000000000000001E-5</v>
      </c>
      <c r="F13" s="8">
        <v>0.35</v>
      </c>
      <c r="G13" s="8">
        <v>6.33</v>
      </c>
      <c r="H13" s="1">
        <f t="shared" si="3"/>
        <v>182.55719999999999</v>
      </c>
      <c r="I13" s="42">
        <f t="shared" si="1"/>
        <v>69.63</v>
      </c>
      <c r="J13" s="44">
        <f t="shared" si="2"/>
        <v>6.3300000000000007E-5</v>
      </c>
    </row>
    <row r="14" spans="2:10" x14ac:dyDescent="0.25">
      <c r="B14">
        <v>10</v>
      </c>
      <c r="C14" s="15">
        <v>8.3000000000000001E-3</v>
      </c>
      <c r="D14" s="8">
        <v>0.55000000000000004</v>
      </c>
      <c r="E14" s="8">
        <v>0.37</v>
      </c>
      <c r="F14" s="8">
        <v>0.96</v>
      </c>
      <c r="G14" s="8">
        <v>0.51</v>
      </c>
      <c r="H14" s="1">
        <f t="shared" si="3"/>
        <v>4.2329999999999998E-3</v>
      </c>
      <c r="I14" s="42">
        <f t="shared" si="1"/>
        <v>0.28050000000000003</v>
      </c>
      <c r="J14" s="44">
        <f t="shared" si="2"/>
        <v>0.18870000000000001</v>
      </c>
    </row>
    <row r="15" spans="2:10" x14ac:dyDescent="0.25">
      <c r="B15">
        <v>11</v>
      </c>
      <c r="C15" s="15">
        <v>4.6000000000000001E-4</v>
      </c>
      <c r="D15" s="16">
        <v>1.2E-5</v>
      </c>
      <c r="E15" s="8">
        <v>0.77</v>
      </c>
      <c r="F15" s="8">
        <v>0.67</v>
      </c>
      <c r="G15" s="8">
        <v>0.49</v>
      </c>
      <c r="H15" s="1">
        <f t="shared" si="3"/>
        <v>2.254E-4</v>
      </c>
      <c r="I15" s="42">
        <f t="shared" si="1"/>
        <v>5.8800000000000005E-6</v>
      </c>
      <c r="J15" s="44">
        <f t="shared" si="2"/>
        <v>0.37730000000000002</v>
      </c>
    </row>
    <row r="16" spans="2:10" x14ac:dyDescent="0.25">
      <c r="B16">
        <v>12</v>
      </c>
      <c r="C16" s="15">
        <v>3.5E-4</v>
      </c>
      <c r="D16" s="8">
        <v>0.95</v>
      </c>
      <c r="E16" s="14">
        <v>8.0000000000000004E-4</v>
      </c>
      <c r="F16" s="8">
        <v>0.48</v>
      </c>
      <c r="G16" s="8">
        <v>0.19</v>
      </c>
      <c r="H16" s="1">
        <f t="shared" si="3"/>
        <v>6.6500000000000004E-5</v>
      </c>
      <c r="I16" s="42">
        <f t="shared" si="1"/>
        <v>0.18049999999999999</v>
      </c>
      <c r="J16" s="44">
        <f t="shared" si="2"/>
        <v>1.5200000000000001E-4</v>
      </c>
    </row>
    <row r="17" spans="2:10" x14ac:dyDescent="0.25">
      <c r="B17">
        <v>13</v>
      </c>
      <c r="C17" s="13">
        <v>3.2000000000000001E-2</v>
      </c>
      <c r="D17" s="8">
        <v>0.2</v>
      </c>
      <c r="E17" s="8">
        <v>0.77</v>
      </c>
      <c r="F17" s="8">
        <v>0.38</v>
      </c>
      <c r="G17" s="8">
        <v>0.53</v>
      </c>
      <c r="H17" s="1">
        <f t="shared" si="3"/>
        <v>1.6960000000000003E-2</v>
      </c>
      <c r="I17" s="42">
        <f t="shared" si="1"/>
        <v>0.10600000000000001</v>
      </c>
      <c r="J17" s="44">
        <f t="shared" si="2"/>
        <v>0.40810000000000002</v>
      </c>
    </row>
    <row r="18" spans="2:10" x14ac:dyDescent="0.25">
      <c r="B18">
        <v>14</v>
      </c>
      <c r="C18" s="15">
        <v>9.0000000000000006E-5</v>
      </c>
      <c r="D18" s="8">
        <v>1</v>
      </c>
      <c r="E18" s="14">
        <v>4.8999999999999998E-4</v>
      </c>
      <c r="F18" s="8">
        <v>0.4</v>
      </c>
      <c r="G18" s="8">
        <v>0.98</v>
      </c>
      <c r="H18" s="1">
        <f t="shared" si="3"/>
        <v>8.8200000000000003E-5</v>
      </c>
      <c r="I18" s="42">
        <f t="shared" si="1"/>
        <v>0.98</v>
      </c>
      <c r="J18" s="44">
        <f t="shared" si="2"/>
        <v>4.8019999999999996E-4</v>
      </c>
    </row>
    <row r="19" spans="2:10" x14ac:dyDescent="0.25">
      <c r="B19">
        <v>15</v>
      </c>
      <c r="C19" s="15">
        <v>1.97E-3</v>
      </c>
      <c r="D19" s="8">
        <v>0.96</v>
      </c>
      <c r="E19" s="14">
        <v>6.7000000000000002E-3</v>
      </c>
      <c r="F19" s="8">
        <v>0.67</v>
      </c>
      <c r="G19" s="8">
        <v>1.01</v>
      </c>
      <c r="H19" s="1">
        <f t="shared" si="3"/>
        <v>1.9897000000000001E-3</v>
      </c>
      <c r="I19" s="42">
        <f t="shared" si="1"/>
        <v>0.96960000000000002</v>
      </c>
      <c r="J19" s="44">
        <f t="shared" si="2"/>
        <v>6.7670000000000004E-3</v>
      </c>
    </row>
    <row r="20" spans="2:10" x14ac:dyDescent="0.25">
      <c r="B20">
        <v>16</v>
      </c>
      <c r="C20" s="15">
        <v>1.4999999999999999E-4</v>
      </c>
      <c r="D20" s="8">
        <v>1</v>
      </c>
      <c r="E20" s="14">
        <v>5.2999999999999998E-4</v>
      </c>
      <c r="F20" s="8">
        <v>0.4</v>
      </c>
      <c r="G20" s="8">
        <v>1.04</v>
      </c>
      <c r="H20" s="1">
        <f t="shared" si="3"/>
        <v>1.56E-4</v>
      </c>
      <c r="I20" s="42">
        <f t="shared" si="1"/>
        <v>1.04</v>
      </c>
      <c r="J20" s="44">
        <f t="shared" si="2"/>
        <v>5.5119999999999995E-4</v>
      </c>
    </row>
    <row r="21" spans="2:10" x14ac:dyDescent="0.25">
      <c r="B21">
        <v>17</v>
      </c>
      <c r="C21" s="15">
        <v>2.1000000000000001E-4</v>
      </c>
      <c r="D21" s="8">
        <v>0.73</v>
      </c>
      <c r="E21" s="15">
        <v>1.0000000000000001E-5</v>
      </c>
      <c r="F21" s="8">
        <v>0.28000000000000003</v>
      </c>
      <c r="G21" s="8">
        <v>1.48</v>
      </c>
      <c r="H21" s="1">
        <f t="shared" si="3"/>
        <v>3.1080000000000002E-4</v>
      </c>
      <c r="I21" s="42">
        <f t="shared" si="1"/>
        <v>1.0804</v>
      </c>
      <c r="J21" s="44">
        <f t="shared" si="2"/>
        <v>1.4800000000000001E-5</v>
      </c>
    </row>
    <row r="22" spans="2:10" x14ac:dyDescent="0.25">
      <c r="B22">
        <v>18</v>
      </c>
      <c r="C22" s="15">
        <v>3.6999999999999999E-4</v>
      </c>
      <c r="D22" s="8">
        <v>0.99</v>
      </c>
      <c r="E22" s="14">
        <v>1.2999999999999999E-3</v>
      </c>
      <c r="F22" s="8">
        <v>0.48</v>
      </c>
      <c r="G22" s="8">
        <v>6</v>
      </c>
      <c r="H22" s="1">
        <f t="shared" si="3"/>
        <v>2.2199999999999998E-3</v>
      </c>
      <c r="I22" s="42">
        <f t="shared" si="1"/>
        <v>5.9399999999999995</v>
      </c>
      <c r="J22" s="44">
        <f t="shared" si="2"/>
        <v>7.7999999999999996E-3</v>
      </c>
    </row>
    <row r="23" spans="2:10" x14ac:dyDescent="0.25">
      <c r="B23">
        <v>19</v>
      </c>
      <c r="C23" s="15">
        <v>4.0000000000000003E-5</v>
      </c>
      <c r="D23" s="8">
        <v>0.99</v>
      </c>
      <c r="E23" s="14">
        <v>4.0000000000000002E-4</v>
      </c>
      <c r="F23" s="8">
        <v>0.45</v>
      </c>
      <c r="G23" s="8">
        <v>5.09</v>
      </c>
      <c r="H23" s="1">
        <f t="shared" si="3"/>
        <v>2.0360000000000002E-4</v>
      </c>
      <c r="I23" s="42">
        <f t="shared" si="1"/>
        <v>5.0390999999999995</v>
      </c>
      <c r="J23" s="44">
        <f t="shared" si="2"/>
        <v>2.036E-3</v>
      </c>
    </row>
    <row r="24" spans="2:10" x14ac:dyDescent="0.25">
      <c r="B24">
        <v>20</v>
      </c>
      <c r="C24" s="8">
        <v>0.10036</v>
      </c>
      <c r="D24" s="8">
        <v>0.77</v>
      </c>
      <c r="E24" s="14">
        <v>2.545E-2</v>
      </c>
      <c r="F24" s="8">
        <v>0.32</v>
      </c>
      <c r="G24" s="8">
        <v>0.56999999999999995</v>
      </c>
      <c r="H24" s="1">
        <f t="shared" si="3"/>
        <v>5.7205199999999998E-2</v>
      </c>
      <c r="I24" s="42">
        <f t="shared" si="1"/>
        <v>0.43889999999999996</v>
      </c>
      <c r="J24" s="44">
        <f t="shared" si="2"/>
        <v>1.4506499999999999E-2</v>
      </c>
    </row>
    <row r="25" spans="2:10" x14ac:dyDescent="0.25">
      <c r="B25">
        <v>21</v>
      </c>
      <c r="C25" s="8">
        <v>14.94</v>
      </c>
      <c r="D25" s="8">
        <v>10.5</v>
      </c>
      <c r="E25" s="8">
        <v>1.84</v>
      </c>
      <c r="F25" s="8">
        <f>50/61</f>
        <v>0.81967213114754101</v>
      </c>
      <c r="G25" s="8">
        <f>2176607/1052111</f>
        <v>2.0687997749286908</v>
      </c>
      <c r="H25" s="1">
        <f t="shared" si="3"/>
        <v>30.907868637434639</v>
      </c>
      <c r="I25" s="42">
        <f t="shared" si="1"/>
        <v>21.722397636751253</v>
      </c>
      <c r="J25" s="44">
        <f t="shared" si="2"/>
        <v>3.8065915858687913</v>
      </c>
    </row>
    <row r="26" spans="2:10" x14ac:dyDescent="0.25">
      <c r="B26">
        <v>22</v>
      </c>
      <c r="C26" s="8">
        <v>79.930000000000007</v>
      </c>
      <c r="D26" s="8">
        <f>30.07-22.97</f>
        <v>7.1000000000000014</v>
      </c>
      <c r="E26" s="8">
        <v>0.09</v>
      </c>
      <c r="F26" s="8">
        <v>0.22</v>
      </c>
      <c r="G26" s="8">
        <f>23081225/6550468</f>
        <v>3.5235993825174017</v>
      </c>
      <c r="H26" s="1">
        <f t="shared" si="3"/>
        <v>281.64129864461592</v>
      </c>
      <c r="I26" s="42">
        <f t="shared" si="1"/>
        <v>25.017555615873558</v>
      </c>
      <c r="J26" s="44">
        <f t="shared" si="2"/>
        <v>0.31712394442656616</v>
      </c>
    </row>
    <row r="27" spans="2:10" x14ac:dyDescent="0.25">
      <c r="B27">
        <v>23</v>
      </c>
      <c r="C27" s="27">
        <v>93.04</v>
      </c>
      <c r="D27" s="27">
        <v>5.81</v>
      </c>
      <c r="E27" s="28">
        <v>1E-4</v>
      </c>
      <c r="F27" s="27">
        <f>460/1194</f>
        <v>0.38525963149078729</v>
      </c>
      <c r="G27" s="27">
        <f>11944837/7578133</f>
        <v>1.576224249429246</v>
      </c>
      <c r="H27" s="1">
        <f t="shared" si="3"/>
        <v>146.65190416689705</v>
      </c>
      <c r="I27" s="42">
        <f t="shared" si="1"/>
        <v>9.1578628891839191</v>
      </c>
      <c r="J27" s="44">
        <f t="shared" si="2"/>
        <v>1.576224249429246E-4</v>
      </c>
    </row>
    <row r="28" spans="2:10" x14ac:dyDescent="0.25">
      <c r="B28">
        <v>24</v>
      </c>
      <c r="C28" s="32">
        <v>4.3</v>
      </c>
      <c r="D28" s="32">
        <v>93.19</v>
      </c>
      <c r="E28" s="32">
        <v>2.5</v>
      </c>
      <c r="F28" s="32">
        <f>105/180</f>
        <v>0.58333333333333337</v>
      </c>
      <c r="G28" s="32">
        <f>482559876/1200261863</f>
        <v>0.40204549596690803</v>
      </c>
      <c r="H28" s="1">
        <f t="shared" si="3"/>
        <v>1.7287956326577045</v>
      </c>
      <c r="I28" s="42">
        <f t="shared" si="1"/>
        <v>37.466619769156161</v>
      </c>
      <c r="J28" s="44">
        <f t="shared" si="2"/>
        <v>1.00511373991727</v>
      </c>
    </row>
    <row r="29" spans="2:10" x14ac:dyDescent="0.25">
      <c r="B29">
        <v>25</v>
      </c>
      <c r="C29" s="8">
        <v>8.24</v>
      </c>
      <c r="D29" s="12">
        <v>77.08</v>
      </c>
      <c r="E29" s="8">
        <f>1.36+1.35+0.06+0.05+0.28+0.2</f>
        <v>3.3</v>
      </c>
      <c r="F29" s="8">
        <v>0.31</v>
      </c>
      <c r="G29" s="8">
        <f>2221761/2582496</f>
        <v>0.86031536931712571</v>
      </c>
      <c r="H29" s="1">
        <f t="shared" si="3"/>
        <v>7.0889986431731158</v>
      </c>
      <c r="I29" s="42">
        <f t="shared" si="1"/>
        <v>66.313108666964055</v>
      </c>
      <c r="J29" s="44">
        <f t="shared" si="2"/>
        <v>2.8390407187465145</v>
      </c>
    </row>
    <row r="30" spans="2:10" x14ac:dyDescent="0.25">
      <c r="B30">
        <v>26</v>
      </c>
      <c r="C30" s="8">
        <v>28.81</v>
      </c>
      <c r="D30" s="8">
        <v>3.62</v>
      </c>
      <c r="E30" s="15">
        <v>1.0000000000000001E-5</v>
      </c>
      <c r="F30" s="8">
        <v>0.5</v>
      </c>
      <c r="G30" s="8">
        <f>1085.7/4235.5</f>
        <v>0.25633337268327233</v>
      </c>
      <c r="H30" s="1">
        <f t="shared" si="3"/>
        <v>7.3849644670050756</v>
      </c>
      <c r="I30" s="42">
        <f t="shared" si="1"/>
        <v>0.92792680911344583</v>
      </c>
      <c r="J30" s="44">
        <f t="shared" si="2"/>
        <v>2.5633337268327234E-6</v>
      </c>
    </row>
    <row r="31" spans="2:10" x14ac:dyDescent="0.25">
      <c r="B31">
        <v>27</v>
      </c>
      <c r="C31" s="8">
        <f>62.33+4.99+4.2+3.24+1.81+1+3.25+3.5</f>
        <v>84.32</v>
      </c>
      <c r="D31" s="8">
        <f>0.14+0.02+0.02</f>
        <v>0.18</v>
      </c>
      <c r="E31" s="8">
        <f>4.51+2.59+0.48+0.04+0.01</f>
        <v>7.63</v>
      </c>
      <c r="F31" s="8">
        <v>0.35</v>
      </c>
      <c r="G31" s="8">
        <f>1556042/1334409</f>
        <v>1.1660907562823692</v>
      </c>
      <c r="H31" s="1">
        <f t="shared" si="3"/>
        <v>98.324772569729362</v>
      </c>
      <c r="I31" s="42">
        <f t="shared" si="1"/>
        <v>0.20989633613082645</v>
      </c>
      <c r="J31" s="44">
        <f t="shared" si="2"/>
        <v>8.8972724704344763</v>
      </c>
    </row>
    <row r="32" spans="2:10" x14ac:dyDescent="0.25">
      <c r="B32">
        <v>28</v>
      </c>
      <c r="C32" s="8">
        <v>21.75</v>
      </c>
      <c r="D32" s="8">
        <f>0.11+0.61+57.11</f>
        <v>57.83</v>
      </c>
      <c r="E32" s="8">
        <f>3.29+2.26+0.04+6.18+0.06+0.03+0.05</f>
        <v>11.91</v>
      </c>
      <c r="F32" s="8">
        <v>0.48</v>
      </c>
      <c r="G32" s="8">
        <f>2758/4303</f>
        <v>0.64094817569137807</v>
      </c>
      <c r="H32" s="1">
        <f t="shared" si="3"/>
        <v>13.940622821287473</v>
      </c>
      <c r="I32" s="42">
        <f t="shared" si="1"/>
        <v>37.066033000232395</v>
      </c>
      <c r="J32" s="44">
        <f t="shared" si="2"/>
        <v>7.6336927724843129</v>
      </c>
    </row>
    <row r="33" spans="2:10" x14ac:dyDescent="0.25">
      <c r="B33">
        <v>29</v>
      </c>
      <c r="C33" s="8">
        <v>35.229999999999997</v>
      </c>
      <c r="D33" s="8">
        <v>55.44</v>
      </c>
      <c r="E33" s="8">
        <f>0.62+0.47+0.46</f>
        <v>1.5499999999999998</v>
      </c>
      <c r="F33" s="37">
        <f>3.6/15.66</f>
        <v>0.22988505747126436</v>
      </c>
      <c r="G33" s="8">
        <f>16148410/6017558</f>
        <v>2.6835487086289822</v>
      </c>
      <c r="H33" s="1">
        <f t="shared" si="3"/>
        <v>94.541421004999037</v>
      </c>
      <c r="I33" s="42">
        <f t="shared" si="1"/>
        <v>148.77594040639076</v>
      </c>
      <c r="J33" s="44">
        <f t="shared" si="2"/>
        <v>4.1595004983749222</v>
      </c>
    </row>
    <row r="34" spans="2:10" x14ac:dyDescent="0.25">
      <c r="B34">
        <v>30</v>
      </c>
      <c r="C34" s="32">
        <v>2.38</v>
      </c>
      <c r="D34" s="32">
        <v>96.43</v>
      </c>
      <c r="E34" s="33">
        <v>1E-4</v>
      </c>
      <c r="F34" s="34">
        <v>0.98</v>
      </c>
      <c r="G34" s="32">
        <f>11244/35358</f>
        <v>0.31800441201425422</v>
      </c>
      <c r="H34" s="1">
        <f t="shared" si="3"/>
        <v>0.756850500593925</v>
      </c>
      <c r="I34" s="42">
        <f t="shared" si="1"/>
        <v>30.665165450534538</v>
      </c>
      <c r="J34" s="44">
        <f t="shared" si="2"/>
        <v>3.1800441201425424E-5</v>
      </c>
    </row>
    <row r="35" spans="2:10" x14ac:dyDescent="0.25">
      <c r="B35">
        <v>31</v>
      </c>
      <c r="C35" s="32">
        <v>6.1740000000000004</v>
      </c>
      <c r="D35" s="32">
        <v>69.55</v>
      </c>
      <c r="E35" s="33">
        <v>4.4999999999999997E-3</v>
      </c>
      <c r="F35" s="32">
        <v>0.48</v>
      </c>
      <c r="G35" s="32">
        <f>514/1312</f>
        <v>0.39176829268292684</v>
      </c>
      <c r="H35" s="1">
        <f t="shared" si="3"/>
        <v>2.4187774390243906</v>
      </c>
      <c r="I35" s="42">
        <f t="shared" si="1"/>
        <v>27.24748475609756</v>
      </c>
      <c r="J35" s="44">
        <f t="shared" si="2"/>
        <v>1.7629573170731706E-3</v>
      </c>
    </row>
    <row r="36" spans="2:10" x14ac:dyDescent="0.25">
      <c r="B36">
        <v>32</v>
      </c>
      <c r="C36" s="32">
        <v>0.86</v>
      </c>
      <c r="D36" s="32">
        <f>5.11+35.56+30.57+25.34</f>
        <v>96.580000000000013</v>
      </c>
      <c r="E36" s="38">
        <v>2.5000000000000001E-2</v>
      </c>
      <c r="F36" s="32">
        <f>160/482</f>
        <v>0.33195020746887965</v>
      </c>
      <c r="G36" s="32">
        <f>2237/3485</f>
        <v>0.64189383070301287</v>
      </c>
      <c r="H36" s="1">
        <f t="shared" si="3"/>
        <v>0.55202869440459101</v>
      </c>
      <c r="I36" s="42">
        <f t="shared" si="1"/>
        <v>61.994106169296991</v>
      </c>
      <c r="J36" s="44">
        <f t="shared" si="2"/>
        <v>1.6047345767575324E-2</v>
      </c>
    </row>
    <row r="37" spans="2:10" x14ac:dyDescent="0.25">
      <c r="B37">
        <v>33</v>
      </c>
      <c r="C37" s="8">
        <v>86.06</v>
      </c>
      <c r="D37" s="8">
        <v>7.29</v>
      </c>
      <c r="E37" s="8">
        <f>0.00031+0.00035+0.09456</f>
        <v>9.5219999999999999E-2</v>
      </c>
      <c r="F37" s="8">
        <v>1</v>
      </c>
      <c r="G37" s="8">
        <f>472945/969783</f>
        <v>0.4876812647777905</v>
      </c>
      <c r="H37" s="1">
        <f t="shared" si="3"/>
        <v>41.969849646776652</v>
      </c>
      <c r="I37" s="42">
        <f t="shared" si="1"/>
        <v>3.555196420230093</v>
      </c>
      <c r="J37" s="44">
        <f t="shared" si="2"/>
        <v>4.6437010032141214E-2</v>
      </c>
    </row>
    <row r="38" spans="2:10" x14ac:dyDescent="0.25">
      <c r="B38">
        <v>34</v>
      </c>
      <c r="C38" s="37">
        <v>0.1</v>
      </c>
      <c r="D38" s="1">
        <v>0.14000000000000001</v>
      </c>
      <c r="E38" s="1">
        <v>0.57999999999999996</v>
      </c>
      <c r="F38" s="1">
        <v>0.35</v>
      </c>
      <c r="G38" s="1">
        <v>2.64</v>
      </c>
      <c r="H38" s="1">
        <f t="shared" si="3"/>
        <v>0.26400000000000001</v>
      </c>
      <c r="I38" s="42">
        <f t="shared" si="1"/>
        <v>0.36960000000000004</v>
      </c>
      <c r="J38" s="44">
        <f t="shared" si="2"/>
        <v>1.5311999999999999</v>
      </c>
    </row>
    <row r="39" spans="2:10" x14ac:dyDescent="0.25">
      <c r="B39">
        <v>35</v>
      </c>
      <c r="C39" s="1">
        <v>0.02</v>
      </c>
      <c r="D39" s="1">
        <v>0.72</v>
      </c>
      <c r="E39" s="1">
        <v>4.0000000000000001E-3</v>
      </c>
      <c r="F39" s="1">
        <v>0.67</v>
      </c>
      <c r="G39" s="1">
        <v>0.96</v>
      </c>
      <c r="H39" s="1">
        <f t="shared" si="3"/>
        <v>1.9199999999999998E-2</v>
      </c>
      <c r="I39" s="42">
        <f t="shared" si="1"/>
        <v>0.69119999999999993</v>
      </c>
      <c r="J39" s="44">
        <f t="shared" si="2"/>
        <v>3.8400000000000001E-3</v>
      </c>
    </row>
    <row r="40" spans="2:10" x14ac:dyDescent="0.25">
      <c r="B40">
        <v>36</v>
      </c>
      <c r="C40" s="1">
        <v>0.17</v>
      </c>
      <c r="D40" s="37">
        <v>0.7</v>
      </c>
      <c r="E40" s="1">
        <v>0.11</v>
      </c>
      <c r="F40" s="1">
        <v>0.25</v>
      </c>
      <c r="G40" s="1">
        <v>0.64</v>
      </c>
      <c r="H40" s="1">
        <f t="shared" si="3"/>
        <v>0.10880000000000001</v>
      </c>
      <c r="I40" s="42">
        <f t="shared" si="1"/>
        <v>0.44799999999999995</v>
      </c>
      <c r="J40" s="44">
        <f t="shared" si="2"/>
        <v>7.0400000000000004E-2</v>
      </c>
    </row>
    <row r="41" spans="2:10" x14ac:dyDescent="0.25">
      <c r="B41">
        <v>37</v>
      </c>
      <c r="C41" s="8">
        <v>35.24</v>
      </c>
      <c r="D41" s="8">
        <v>9.5299999999999994</v>
      </c>
      <c r="E41" s="14">
        <v>1E-4</v>
      </c>
      <c r="F41" s="8">
        <f>207/403</f>
        <v>0.51364764267990071</v>
      </c>
      <c r="G41" s="8">
        <f>43.915/33.892</f>
        <v>1.2957335064321962</v>
      </c>
      <c r="H41" s="1">
        <f t="shared" si="3"/>
        <v>45.661648766670595</v>
      </c>
      <c r="I41" s="42">
        <f t="shared" si="1"/>
        <v>12.348340316298829</v>
      </c>
      <c r="J41" s="44">
        <f t="shared" si="2"/>
        <v>1.2957335064321963E-4</v>
      </c>
    </row>
    <row r="42" spans="2:10" x14ac:dyDescent="0.25">
      <c r="B42">
        <v>38</v>
      </c>
      <c r="C42" s="8">
        <v>70.099999999999994</v>
      </c>
      <c r="D42" s="8">
        <v>13.1</v>
      </c>
      <c r="E42" s="14">
        <v>1.2999999999999999E-3</v>
      </c>
      <c r="F42" s="8">
        <v>0.84</v>
      </c>
      <c r="G42" s="8">
        <f>532049/2551193</f>
        <v>0.20854909840219851</v>
      </c>
      <c r="H42" s="1">
        <f t="shared" si="3"/>
        <v>14.619291797994114</v>
      </c>
      <c r="I42" s="42">
        <f t="shared" si="1"/>
        <v>2.7319931890688003</v>
      </c>
      <c r="J42" s="44">
        <f t="shared" si="2"/>
        <v>2.7111382792285806E-4</v>
      </c>
    </row>
    <row r="43" spans="2:10" x14ac:dyDescent="0.25">
      <c r="B43">
        <v>39</v>
      </c>
      <c r="C43" s="8">
        <v>36.93</v>
      </c>
      <c r="D43" s="8">
        <f>3.11+2.86+1.47+0.15+0.58</f>
        <v>8.17</v>
      </c>
      <c r="E43" s="14">
        <v>1E-4</v>
      </c>
      <c r="F43" s="8">
        <f>163/188</f>
        <v>0.86702127659574468</v>
      </c>
      <c r="G43" s="8">
        <f>103958/221208</f>
        <v>0.4699558786300676</v>
      </c>
      <c r="H43" s="1">
        <f t="shared" si="3"/>
        <v>17.355470597808395</v>
      </c>
      <c r="I43" s="42">
        <f t="shared" si="1"/>
        <v>3.8395395284076521</v>
      </c>
      <c r="J43" s="44">
        <f t="shared" si="2"/>
        <v>4.6995587863006761E-5</v>
      </c>
    </row>
    <row r="44" spans="2:10" x14ac:dyDescent="0.25">
      <c r="B44">
        <v>40</v>
      </c>
      <c r="C44" s="8">
        <v>22.98</v>
      </c>
      <c r="D44" s="8">
        <v>60.38</v>
      </c>
      <c r="E44" s="13">
        <f>2.257+1.375+2.049+2.298</f>
        <v>7.9790000000000001</v>
      </c>
      <c r="F44" s="8">
        <f>58/100</f>
        <v>0.57999999999999996</v>
      </c>
      <c r="G44" s="8">
        <f>665/2442</f>
        <v>0.27231777231777232</v>
      </c>
      <c r="H44" s="1">
        <f t="shared" si="3"/>
        <v>6.2578624078624081</v>
      </c>
      <c r="I44" s="42">
        <f t="shared" si="1"/>
        <v>16.442547092547095</v>
      </c>
      <c r="J44" s="44">
        <f t="shared" si="2"/>
        <v>2.1728235053235054</v>
      </c>
    </row>
    <row r="45" spans="2:10" x14ac:dyDescent="0.25">
      <c r="B45">
        <v>41</v>
      </c>
      <c r="C45" s="8">
        <v>34.840000000000003</v>
      </c>
      <c r="D45" s="8">
        <v>6.95</v>
      </c>
      <c r="E45" s="8">
        <v>0.19</v>
      </c>
      <c r="F45" s="8">
        <f>340/1159</f>
        <v>0.29335634167385677</v>
      </c>
      <c r="G45" s="8">
        <f>744846/174143</f>
        <v>4.2772089604520422</v>
      </c>
      <c r="H45" s="1">
        <f t="shared" si="3"/>
        <v>149.01796018214915</v>
      </c>
      <c r="I45" s="42">
        <f t="shared" si="1"/>
        <v>29.726602275141694</v>
      </c>
      <c r="J45" s="44">
        <f t="shared" si="2"/>
        <v>0.81266970248588799</v>
      </c>
    </row>
    <row r="46" spans="2:10" x14ac:dyDescent="0.25">
      <c r="B46">
        <v>42</v>
      </c>
      <c r="C46" s="8">
        <v>96.04</v>
      </c>
      <c r="D46" s="8">
        <v>2.68</v>
      </c>
      <c r="E46" s="15">
        <v>1.0000000000000001E-5</v>
      </c>
      <c r="F46" s="8">
        <v>0.35</v>
      </c>
      <c r="G46" s="8">
        <f>148117/45417</f>
        <v>3.2612678072087546</v>
      </c>
      <c r="H46" s="1">
        <f t="shared" si="3"/>
        <v>313.21216020432882</v>
      </c>
      <c r="I46" s="42">
        <f t="shared" si="1"/>
        <v>8.7401977233194632</v>
      </c>
      <c r="J46" s="44">
        <f t="shared" si="2"/>
        <v>3.2612678072087552E-5</v>
      </c>
    </row>
    <row r="47" spans="2:10" x14ac:dyDescent="0.25">
      <c r="B47">
        <v>43</v>
      </c>
      <c r="C47" s="8">
        <v>82.66</v>
      </c>
      <c r="D47" s="8">
        <v>15.85</v>
      </c>
      <c r="E47" s="15">
        <v>1.0000000000000001E-5</v>
      </c>
      <c r="F47" s="8">
        <f>0.5</f>
        <v>0.5</v>
      </c>
      <c r="G47" s="8">
        <f>41996/54202</f>
        <v>0.77480535773587689</v>
      </c>
      <c r="H47" s="1">
        <f t="shared" si="3"/>
        <v>64.045410870447583</v>
      </c>
      <c r="I47" s="42">
        <f t="shared" si="1"/>
        <v>12.280664920113649</v>
      </c>
      <c r="J47" s="44">
        <f t="shared" si="2"/>
        <v>7.7480535773587693E-6</v>
      </c>
    </row>
    <row r="48" spans="2:10" x14ac:dyDescent="0.25">
      <c r="B48">
        <v>44</v>
      </c>
      <c r="C48" s="8">
        <v>7.81</v>
      </c>
      <c r="D48" s="8">
        <v>6.94</v>
      </c>
      <c r="E48" s="8">
        <v>25.34</v>
      </c>
      <c r="F48" s="8">
        <f>29/89</f>
        <v>0.3258426966292135</v>
      </c>
      <c r="G48" s="8">
        <f>9137979/9899940</f>
        <v>0.92303377596227854</v>
      </c>
      <c r="H48" s="1">
        <f t="shared" si="3"/>
        <v>7.2088937902653951</v>
      </c>
      <c r="I48" s="42">
        <f t="shared" si="1"/>
        <v>6.4058544051782134</v>
      </c>
      <c r="J48" s="44">
        <f t="shared" si="2"/>
        <v>23.389675882884138</v>
      </c>
    </row>
    <row r="49" spans="2:10" x14ac:dyDescent="0.25">
      <c r="B49">
        <v>45</v>
      </c>
      <c r="C49" s="8">
        <v>26.45</v>
      </c>
      <c r="D49" s="8">
        <f>73.55-60-2.02</f>
        <v>11.529999999999998</v>
      </c>
      <c r="E49" s="14">
        <v>2.9999999999999997E-4</v>
      </c>
      <c r="F49" s="8">
        <f>201/809</f>
        <v>0.2484548825710754</v>
      </c>
      <c r="G49" s="8">
        <f>688489/125004</f>
        <v>5.5077357524559218</v>
      </c>
      <c r="H49" s="1">
        <f t="shared" si="3"/>
        <v>145.67961065245913</v>
      </c>
      <c r="I49" s="42">
        <f t="shared" si="1"/>
        <v>63.504193225816763</v>
      </c>
      <c r="J49" s="44">
        <f t="shared" si="2"/>
        <v>1.6523207257367763E-3</v>
      </c>
    </row>
    <row r="50" spans="2:10" x14ac:dyDescent="0.25">
      <c r="B50">
        <v>46</v>
      </c>
      <c r="C50" s="14">
        <v>7.9000000000000008E-3</v>
      </c>
      <c r="D50" s="8">
        <v>0.55000000000000004</v>
      </c>
      <c r="E50" s="8">
        <v>0.37</v>
      </c>
      <c r="F50" s="8">
        <v>1.28</v>
      </c>
      <c r="G50" s="8">
        <v>0.53</v>
      </c>
      <c r="H50" s="1">
        <f t="shared" si="3"/>
        <v>4.1870000000000006E-3</v>
      </c>
      <c r="I50" s="42">
        <f t="shared" si="1"/>
        <v>0.29150000000000004</v>
      </c>
      <c r="J50" s="44">
        <f t="shared" si="2"/>
        <v>0.1961</v>
      </c>
    </row>
    <row r="51" spans="2:10" x14ac:dyDescent="0.25">
      <c r="B51">
        <v>47</v>
      </c>
      <c r="C51" s="15">
        <v>6.3E-5</v>
      </c>
      <c r="D51" s="8">
        <v>1.03</v>
      </c>
      <c r="E51" s="15">
        <v>1.0000000000000001E-5</v>
      </c>
      <c r="F51" s="8">
        <v>0.92</v>
      </c>
      <c r="G51" s="8">
        <v>0.67</v>
      </c>
      <c r="H51" s="1">
        <f t="shared" si="3"/>
        <v>4.2210000000000004E-5</v>
      </c>
      <c r="I51" s="42">
        <f t="shared" si="1"/>
        <v>0.69010000000000005</v>
      </c>
      <c r="J51" s="44">
        <f t="shared" si="2"/>
        <v>6.7000000000000011E-6</v>
      </c>
    </row>
    <row r="52" spans="2:10" x14ac:dyDescent="0.25">
      <c r="B52">
        <v>48</v>
      </c>
      <c r="C52" s="15">
        <v>3.4000000000000002E-4</v>
      </c>
      <c r="D52" s="12">
        <v>0.95</v>
      </c>
      <c r="E52" s="14">
        <v>2.8E-3</v>
      </c>
      <c r="F52" s="8">
        <v>0.49</v>
      </c>
      <c r="G52" s="8">
        <v>0.21</v>
      </c>
      <c r="H52" s="1">
        <f t="shared" si="3"/>
        <v>7.1400000000000001E-5</v>
      </c>
      <c r="I52" s="42">
        <f t="shared" si="1"/>
        <v>0.19949999999999998</v>
      </c>
      <c r="J52" s="44">
        <f t="shared" si="2"/>
        <v>5.8799999999999998E-4</v>
      </c>
    </row>
    <row r="53" spans="2:10" x14ac:dyDescent="0.25">
      <c r="B53">
        <v>49</v>
      </c>
      <c r="C53" s="14">
        <v>6.9999999999999999E-4</v>
      </c>
      <c r="D53" s="8">
        <v>0.9</v>
      </c>
      <c r="E53" s="8">
        <v>0.77</v>
      </c>
      <c r="F53" s="8">
        <v>0.4</v>
      </c>
      <c r="G53" s="8">
        <v>0.78</v>
      </c>
      <c r="H53" s="1">
        <f t="shared" si="3"/>
        <v>5.4600000000000004E-4</v>
      </c>
      <c r="I53" s="42">
        <f t="shared" si="1"/>
        <v>0.70200000000000007</v>
      </c>
      <c r="J53" s="44">
        <f t="shared" si="2"/>
        <v>0.60060000000000002</v>
      </c>
    </row>
    <row r="54" spans="2:10" x14ac:dyDescent="0.25">
      <c r="B54">
        <v>50</v>
      </c>
      <c r="C54" s="15">
        <v>1.2E-4</v>
      </c>
      <c r="D54" s="8">
        <v>1</v>
      </c>
      <c r="E54" s="14">
        <v>5.8E-4</v>
      </c>
      <c r="F54" s="8">
        <v>0.4</v>
      </c>
      <c r="G54" s="8">
        <v>0.88</v>
      </c>
      <c r="H54" s="1">
        <f t="shared" si="3"/>
        <v>1.0560000000000001E-4</v>
      </c>
      <c r="I54" s="42">
        <f t="shared" si="1"/>
        <v>0.88</v>
      </c>
      <c r="J54" s="44">
        <f t="shared" si="2"/>
        <v>5.1040000000000005E-4</v>
      </c>
    </row>
    <row r="55" spans="2:10" x14ac:dyDescent="0.25">
      <c r="B55">
        <v>51</v>
      </c>
      <c r="C55" s="15">
        <v>2.6800000000000001E-3</v>
      </c>
      <c r="D55" s="8">
        <v>0.96</v>
      </c>
      <c r="E55" s="14">
        <v>6.7000000000000002E-3</v>
      </c>
      <c r="F55" s="8">
        <v>0.59</v>
      </c>
      <c r="G55" s="8">
        <v>1.1299999999999999</v>
      </c>
      <c r="H55" s="1">
        <f t="shared" si="3"/>
        <v>3.0283999999999997E-3</v>
      </c>
      <c r="I55" s="42">
        <f t="shared" si="1"/>
        <v>1.0847999999999998</v>
      </c>
      <c r="J55" s="44">
        <f t="shared" si="2"/>
        <v>7.5709999999999996E-3</v>
      </c>
    </row>
    <row r="56" spans="2:10" x14ac:dyDescent="0.25">
      <c r="B56">
        <v>52</v>
      </c>
      <c r="C56" s="15">
        <v>1.3999999999999999E-4</v>
      </c>
      <c r="D56" s="8">
        <v>0.97</v>
      </c>
      <c r="E56" s="14">
        <v>1.1000000000000001E-3</v>
      </c>
      <c r="F56" s="8">
        <v>0.4</v>
      </c>
      <c r="G56" s="8">
        <v>0.83</v>
      </c>
      <c r="H56" s="1">
        <f t="shared" si="3"/>
        <v>1.1619999999999998E-4</v>
      </c>
      <c r="I56" s="42">
        <f t="shared" si="1"/>
        <v>0.80509999999999993</v>
      </c>
      <c r="J56" s="44">
        <f t="shared" si="2"/>
        <v>9.1299999999999997E-4</v>
      </c>
    </row>
    <row r="57" spans="2:10" x14ac:dyDescent="0.25">
      <c r="B57">
        <v>53</v>
      </c>
      <c r="C57" s="15">
        <v>1.7000000000000001E-4</v>
      </c>
      <c r="D57" s="8">
        <v>0.74</v>
      </c>
      <c r="E57" s="15">
        <v>1.0000000000000001E-5</v>
      </c>
      <c r="F57" s="8">
        <v>0.32</v>
      </c>
      <c r="G57" s="8">
        <v>1.28</v>
      </c>
      <c r="H57" s="1">
        <f t="shared" si="3"/>
        <v>2.1760000000000003E-4</v>
      </c>
      <c r="I57" s="42">
        <f t="shared" si="1"/>
        <v>0.94720000000000004</v>
      </c>
      <c r="J57" s="44">
        <f t="shared" si="2"/>
        <v>1.2800000000000001E-5</v>
      </c>
    </row>
    <row r="58" spans="2:10" x14ac:dyDescent="0.25">
      <c r="B58">
        <v>54</v>
      </c>
      <c r="C58" s="15">
        <v>3.1300000000000002E-4</v>
      </c>
      <c r="D58" s="8">
        <v>0.99</v>
      </c>
      <c r="E58" s="14">
        <v>2.9999999999999997E-4</v>
      </c>
      <c r="F58" s="8">
        <v>0.5</v>
      </c>
      <c r="G58" s="8">
        <v>4.91</v>
      </c>
      <c r="H58" s="1">
        <f t="shared" si="3"/>
        <v>1.5368300000000001E-3</v>
      </c>
      <c r="I58" s="42">
        <f t="shared" si="1"/>
        <v>4.8609</v>
      </c>
      <c r="J58" s="44">
        <f t="shared" si="2"/>
        <v>1.4729999999999999E-3</v>
      </c>
    </row>
    <row r="59" spans="2:10" x14ac:dyDescent="0.25">
      <c r="B59">
        <v>55</v>
      </c>
      <c r="C59" s="15">
        <v>9.0000000000000006E-5</v>
      </c>
      <c r="D59" s="8">
        <v>0.99</v>
      </c>
      <c r="E59" s="14">
        <v>2.4000000000000001E-4</v>
      </c>
      <c r="F59" s="8">
        <v>0.45</v>
      </c>
      <c r="G59" s="8">
        <v>4.91</v>
      </c>
      <c r="H59" s="1">
        <f t="shared" si="3"/>
        <v>4.4190000000000006E-4</v>
      </c>
      <c r="I59" s="42">
        <f t="shared" si="1"/>
        <v>4.8609</v>
      </c>
      <c r="J59" s="44">
        <f t="shared" si="2"/>
        <v>1.1784E-3</v>
      </c>
    </row>
    <row r="60" spans="2:10" x14ac:dyDescent="0.25">
      <c r="B60">
        <v>56</v>
      </c>
      <c r="C60" s="15">
        <v>0.10036</v>
      </c>
      <c r="D60" s="8">
        <v>0.78</v>
      </c>
      <c r="E60" s="14">
        <v>2.545E-2</v>
      </c>
      <c r="F60" s="8">
        <v>0.31</v>
      </c>
      <c r="G60" s="8">
        <v>0.51</v>
      </c>
      <c r="H60" s="1">
        <f t="shared" si="3"/>
        <v>5.1183600000000003E-2</v>
      </c>
      <c r="I60" s="42">
        <f t="shared" si="1"/>
        <v>0.39780000000000004</v>
      </c>
      <c r="J60" s="44">
        <f t="shared" si="2"/>
        <v>1.29795E-2</v>
      </c>
    </row>
    <row r="61" spans="2:10" x14ac:dyDescent="0.25">
      <c r="B61">
        <v>57</v>
      </c>
      <c r="C61" s="8">
        <v>14.26</v>
      </c>
      <c r="D61" s="8">
        <v>10.83</v>
      </c>
      <c r="E61" s="8">
        <v>1.86</v>
      </c>
      <c r="F61" s="8">
        <f>40/51</f>
        <v>0.78431372549019607</v>
      </c>
      <c r="G61" s="8">
        <f>1886089/1076904</f>
        <v>1.7513993819319085</v>
      </c>
      <c r="H61" s="1">
        <f t="shared" si="3"/>
        <v>24.974955186349014</v>
      </c>
      <c r="I61" s="42">
        <f t="shared" si="1"/>
        <v>18.96765530632257</v>
      </c>
      <c r="J61" s="44">
        <f t="shared" si="2"/>
        <v>3.2576028503933498</v>
      </c>
    </row>
    <row r="62" spans="2:10" x14ac:dyDescent="0.25">
      <c r="B62">
        <v>58</v>
      </c>
      <c r="C62" s="8">
        <v>79.930000000000007</v>
      </c>
      <c r="D62" s="8">
        <v>11.29</v>
      </c>
      <c r="E62" s="8">
        <v>0.03</v>
      </c>
      <c r="F62" s="8">
        <v>0.18</v>
      </c>
      <c r="G62" s="8">
        <f>30000671/6935590</f>
        <v>4.3256119522636141</v>
      </c>
      <c r="H62" s="1">
        <f t="shared" si="3"/>
        <v>345.74616334443073</v>
      </c>
      <c r="I62" s="42">
        <f t="shared" si="1"/>
        <v>48.836158941056198</v>
      </c>
      <c r="J62" s="44">
        <f t="shared" si="2"/>
        <v>0.12976835856790842</v>
      </c>
    </row>
    <row r="63" spans="2:10" x14ac:dyDescent="0.25">
      <c r="B63">
        <v>59</v>
      </c>
      <c r="C63" s="27">
        <v>93.1</v>
      </c>
      <c r="D63" s="27">
        <v>5.6</v>
      </c>
      <c r="E63" s="29">
        <v>1E-4</v>
      </c>
      <c r="F63" s="27">
        <f>775/969</f>
        <v>0.79979360165118674</v>
      </c>
      <c r="G63" s="27">
        <f>15367509/5281862</f>
        <v>2.9094870331712568</v>
      </c>
      <c r="H63" s="1">
        <f t="shared" si="3"/>
        <v>270.873242788244</v>
      </c>
      <c r="I63" s="42">
        <f t="shared" si="1"/>
        <v>16.293127385759036</v>
      </c>
      <c r="J63" s="44">
        <f t="shared" si="2"/>
        <v>2.909487033171257E-4</v>
      </c>
    </row>
    <row r="64" spans="2:10" x14ac:dyDescent="0.25">
      <c r="B64">
        <v>60</v>
      </c>
      <c r="C64" s="32">
        <v>4.32</v>
      </c>
      <c r="D64" s="32">
        <v>93.28</v>
      </c>
      <c r="E64" s="32">
        <v>2.52</v>
      </c>
      <c r="F64" s="32">
        <f>107/198</f>
        <v>0.54040404040404044</v>
      </c>
      <c r="G64" s="32">
        <f>523881726/1306078988</f>
        <v>0.40111029333855264</v>
      </c>
      <c r="H64" s="1">
        <f t="shared" si="3"/>
        <v>1.7327964672225475</v>
      </c>
      <c r="I64" s="42">
        <f t="shared" si="1"/>
        <v>37.41556816262019</v>
      </c>
      <c r="J64" s="44">
        <f t="shared" si="2"/>
        <v>1.0107979392131528</v>
      </c>
    </row>
    <row r="65" spans="2:10" x14ac:dyDescent="0.25">
      <c r="B65">
        <v>61</v>
      </c>
      <c r="C65" s="8">
        <v>5.0999999999999996</v>
      </c>
      <c r="D65" s="8">
        <v>80.22</v>
      </c>
      <c r="E65" s="8">
        <f>1.36+1.35+0.06+0.05+0.28+0.2</f>
        <v>3.3</v>
      </c>
      <c r="F65" s="8" t="s">
        <v>63</v>
      </c>
      <c r="G65" s="8">
        <f>2230342/2697767</f>
        <v>0.82673633416080783</v>
      </c>
      <c r="H65" s="1">
        <f t="shared" si="3"/>
        <v>4.2163553042201194</v>
      </c>
      <c r="I65" s="42">
        <f t="shared" si="1"/>
        <v>66.320788726380002</v>
      </c>
      <c r="J65" s="44">
        <f t="shared" si="2"/>
        <v>2.7282299027306656</v>
      </c>
    </row>
    <row r="66" spans="2:10" x14ac:dyDescent="0.25">
      <c r="B66">
        <v>62</v>
      </c>
      <c r="C66" s="8">
        <v>35.97</v>
      </c>
      <c r="D66" s="8">
        <v>2.86</v>
      </c>
      <c r="E66" s="15">
        <v>1.0000000000000001E-5</v>
      </c>
      <c r="F66" s="8">
        <v>0.5</v>
      </c>
      <c r="G66" s="8">
        <f>1177.7/4742.5</f>
        <v>0.24832894043226147</v>
      </c>
      <c r="H66" s="1">
        <f t="shared" si="3"/>
        <v>8.9323919873484456</v>
      </c>
      <c r="I66" s="42">
        <f t="shared" si="1"/>
        <v>0.71022076963626779</v>
      </c>
      <c r="J66" s="44">
        <f t="shared" si="2"/>
        <v>2.4832894043226151E-6</v>
      </c>
    </row>
    <row r="67" spans="2:10" x14ac:dyDescent="0.25">
      <c r="B67">
        <v>63</v>
      </c>
      <c r="C67" s="8">
        <f>62.33+4.99+4.2+3.5+3.25+3.24+1.81+1</f>
        <v>84.32</v>
      </c>
      <c r="D67" s="8">
        <f>3.22+2.87+1.53+0.14+0.02+0.02+0.02</f>
        <v>7.8199999999999985</v>
      </c>
      <c r="E67" s="8">
        <f>4.51+2.59+0.48+0.04+0.01</f>
        <v>7.63</v>
      </c>
      <c r="F67" s="8">
        <v>0.36</v>
      </c>
      <c r="G67" s="8">
        <f>1325949/1253704</f>
        <v>1.0576252448743881</v>
      </c>
      <c r="H67" s="1">
        <f t="shared" si="3"/>
        <v>89.178960647808395</v>
      </c>
      <c r="I67" s="42">
        <f t="shared" si="1"/>
        <v>8.270629414917714</v>
      </c>
      <c r="J67" s="44">
        <f t="shared" si="2"/>
        <v>8.0696806183915815</v>
      </c>
    </row>
    <row r="68" spans="2:10" x14ac:dyDescent="0.25">
      <c r="B68">
        <v>64</v>
      </c>
      <c r="C68" s="1">
        <f>19.54</f>
        <v>19.54</v>
      </c>
      <c r="D68" s="8">
        <f>59.52+0.52+0.1+0.04</f>
        <v>60.180000000000007</v>
      </c>
      <c r="E68" s="8">
        <f>3.29+2.26+0.04+6.18+0.06+0.03+0.05</f>
        <v>11.91</v>
      </c>
      <c r="F68" s="8">
        <v>0.34</v>
      </c>
      <c r="G68" s="8">
        <f>3234/3983</f>
        <v>0.81195079086115995</v>
      </c>
      <c r="H68" s="1">
        <f t="shared" si="3"/>
        <v>15.865518453427065</v>
      </c>
      <c r="I68" s="42">
        <f t="shared" si="1"/>
        <v>48.86319859402461</v>
      </c>
      <c r="J68" s="44">
        <f t="shared" si="2"/>
        <v>9.6703339191564144</v>
      </c>
    </row>
    <row r="69" spans="2:10" x14ac:dyDescent="0.25">
      <c r="B69">
        <v>65</v>
      </c>
      <c r="C69" s="8">
        <v>35.229999999999997</v>
      </c>
      <c r="D69" s="8">
        <v>55.44</v>
      </c>
      <c r="E69" s="8">
        <f>0.62+0.47+0.46</f>
        <v>1.5499999999999998</v>
      </c>
      <c r="F69" s="8">
        <f>2.64/26.79</f>
        <v>9.8544232922732372E-2</v>
      </c>
      <c r="G69" s="8">
        <f>17108006/6884307</f>
        <v>2.4850730799774037</v>
      </c>
      <c r="H69" s="1">
        <f t="shared" si="3"/>
        <v>87.549124607603929</v>
      </c>
      <c r="I69" s="42">
        <f t="shared" si="1"/>
        <v>137.77245155394726</v>
      </c>
      <c r="J69" s="44">
        <f t="shared" si="2"/>
        <v>3.8518632739649754</v>
      </c>
    </row>
    <row r="70" spans="2:10" x14ac:dyDescent="0.25">
      <c r="B70">
        <v>66</v>
      </c>
      <c r="C70" s="35">
        <v>2.2999999999999998</v>
      </c>
      <c r="D70" s="32">
        <f>111031021422/116318076900</f>
        <v>0.95454657075748128</v>
      </c>
      <c r="E70" s="33">
        <v>1E-4</v>
      </c>
      <c r="F70" s="32">
        <v>1</v>
      </c>
      <c r="G70" s="32">
        <f>15233/36680</f>
        <v>0.41529443838604146</v>
      </c>
      <c r="H70" s="1">
        <f t="shared" si="3"/>
        <v>0.95517720828789532</v>
      </c>
      <c r="I70" s="42">
        <f t="shared" ref="I70:I112" si="4">D70*G70</f>
        <v>0.39641788201604999</v>
      </c>
      <c r="J70" s="44">
        <f t="shared" ref="J70:J112" si="5">E70*G70</f>
        <v>4.152944383860415E-5</v>
      </c>
    </row>
    <row r="71" spans="2:10" x14ac:dyDescent="0.25">
      <c r="B71">
        <v>67</v>
      </c>
      <c r="C71" s="32">
        <v>5.28</v>
      </c>
      <c r="D71" s="32">
        <v>69.06</v>
      </c>
      <c r="E71" s="39">
        <v>5.0000000000000001E-3</v>
      </c>
      <c r="F71" s="32">
        <v>0.84</v>
      </c>
      <c r="G71" s="32">
        <f>979/1353</f>
        <v>0.72357723577235777</v>
      </c>
      <c r="H71" s="1">
        <f t="shared" si="3"/>
        <v>3.8204878048780491</v>
      </c>
      <c r="I71" s="42">
        <f t="shared" si="4"/>
        <v>49.97024390243903</v>
      </c>
      <c r="J71" s="44">
        <f t="shared" si="5"/>
        <v>3.6178861788617889E-3</v>
      </c>
    </row>
    <row r="72" spans="2:10" x14ac:dyDescent="0.25">
      <c r="B72">
        <v>68</v>
      </c>
      <c r="C72" s="32">
        <v>0.76</v>
      </c>
      <c r="D72" s="32">
        <f>4.68+36.56+30.57+25.36</f>
        <v>97.17</v>
      </c>
      <c r="E72" s="38">
        <v>2.7E-2</v>
      </c>
      <c r="F72" s="32">
        <f>204/482</f>
        <v>0.42323651452282157</v>
      </c>
      <c r="G72" s="32">
        <f>1603873/2995872</f>
        <v>0.53536099005564985</v>
      </c>
      <c r="H72" s="1">
        <f t="shared" si="3"/>
        <v>0.40687435244229392</v>
      </c>
      <c r="I72" s="42">
        <f t="shared" si="4"/>
        <v>52.0210274037075</v>
      </c>
      <c r="J72" s="44">
        <f t="shared" si="5"/>
        <v>1.4454746731502545E-2</v>
      </c>
    </row>
    <row r="73" spans="2:10" x14ac:dyDescent="0.25">
      <c r="B73">
        <v>69</v>
      </c>
      <c r="C73" s="8">
        <f>83.82+0.14</f>
        <v>83.96</v>
      </c>
      <c r="D73" s="8">
        <v>6.89</v>
      </c>
      <c r="E73" s="8">
        <f>0.00031+0.00036+0.09456</f>
        <v>9.5230000000000009E-2</v>
      </c>
      <c r="F73" s="8">
        <v>0.8</v>
      </c>
      <c r="G73" s="8">
        <f>324576/884465</f>
        <v>0.36697438564555973</v>
      </c>
      <c r="H73" s="1">
        <f t="shared" si="3"/>
        <v>30.811169418801192</v>
      </c>
      <c r="I73" s="42">
        <f t="shared" si="4"/>
        <v>2.5284535170979066</v>
      </c>
      <c r="J73" s="44">
        <f t="shared" si="5"/>
        <v>3.4946970745026659E-2</v>
      </c>
    </row>
    <row r="74" spans="2:10" x14ac:dyDescent="0.25">
      <c r="B74">
        <v>70</v>
      </c>
      <c r="C74" s="1">
        <v>0.1</v>
      </c>
      <c r="D74" s="1">
        <v>0.14000000000000001</v>
      </c>
      <c r="E74" s="1">
        <v>0.57999999999999996</v>
      </c>
      <c r="F74" s="1">
        <v>0.24</v>
      </c>
      <c r="G74" s="1">
        <v>2.4900000000000002</v>
      </c>
      <c r="H74" s="1">
        <f t="shared" ref="H74:H112" si="6">G74*C74</f>
        <v>0.24900000000000003</v>
      </c>
      <c r="I74" s="42">
        <f t="shared" si="4"/>
        <v>0.34860000000000008</v>
      </c>
      <c r="J74" s="44">
        <f t="shared" si="5"/>
        <v>1.4441999999999999</v>
      </c>
    </row>
    <row r="75" spans="2:10" x14ac:dyDescent="0.25">
      <c r="B75">
        <v>71</v>
      </c>
      <c r="C75" s="1">
        <v>0.01</v>
      </c>
      <c r="D75" s="1">
        <v>0.72</v>
      </c>
      <c r="E75" s="1">
        <v>4.0000000000000001E-3</v>
      </c>
      <c r="F75" s="37">
        <v>0.8</v>
      </c>
      <c r="G75" s="37">
        <v>1.2</v>
      </c>
      <c r="H75" s="1">
        <f t="shared" si="6"/>
        <v>1.2E-2</v>
      </c>
      <c r="I75" s="42">
        <f t="shared" si="4"/>
        <v>0.86399999999999999</v>
      </c>
      <c r="J75" s="44">
        <f t="shared" si="5"/>
        <v>4.7999999999999996E-3</v>
      </c>
    </row>
    <row r="76" spans="2:10" x14ac:dyDescent="0.25">
      <c r="B76">
        <v>72</v>
      </c>
      <c r="C76" s="1">
        <v>0.16</v>
      </c>
      <c r="D76" s="1">
        <v>0.72</v>
      </c>
      <c r="E76" s="37">
        <v>0.1</v>
      </c>
      <c r="F76" s="1">
        <v>0.08</v>
      </c>
      <c r="G76" s="1">
        <v>0.74</v>
      </c>
      <c r="H76" s="1">
        <f t="shared" si="6"/>
        <v>0.11840000000000001</v>
      </c>
      <c r="I76" s="42">
        <f t="shared" si="4"/>
        <v>0.53279999999999994</v>
      </c>
      <c r="J76" s="44">
        <f t="shared" si="5"/>
        <v>7.3999999999999996E-2</v>
      </c>
    </row>
    <row r="77" spans="2:10" x14ac:dyDescent="0.25">
      <c r="B77">
        <v>73</v>
      </c>
      <c r="C77" s="8">
        <v>34.58</v>
      </c>
      <c r="D77" s="8">
        <f>0.0029+0.095+6.04+4.19+0.0006+0.043+0.00008+0.0014</f>
        <v>10.37298</v>
      </c>
      <c r="E77" s="14">
        <v>1E-4</v>
      </c>
      <c r="F77" s="8">
        <f>40.34/471</f>
        <v>8.5647558386411901E-2</v>
      </c>
      <c r="G77" s="8">
        <f>40572/35653</f>
        <v>1.1379687543825203</v>
      </c>
      <c r="H77" s="1">
        <f t="shared" si="6"/>
        <v>39.350959526547548</v>
      </c>
      <c r="I77" s="42">
        <f t="shared" si="4"/>
        <v>11.804127129834797</v>
      </c>
      <c r="J77" s="44">
        <f t="shared" si="5"/>
        <v>1.1379687543825203E-4</v>
      </c>
    </row>
    <row r="78" spans="2:10" x14ac:dyDescent="0.25">
      <c r="B78">
        <v>74</v>
      </c>
      <c r="C78" s="8">
        <v>72</v>
      </c>
      <c r="D78" s="8">
        <v>13.2</v>
      </c>
      <c r="E78" s="15">
        <f>273004/201066667</f>
        <v>1.3577785123379004E-3</v>
      </c>
      <c r="F78" s="8">
        <v>0.84</v>
      </c>
      <c r="G78" s="8">
        <f>448803/2865987</f>
        <v>0.15659631394001439</v>
      </c>
      <c r="H78" s="1">
        <f t="shared" si="6"/>
        <v>11.274934603681036</v>
      </c>
      <c r="I78" s="42">
        <f t="shared" si="4"/>
        <v>2.0670713440081898</v>
      </c>
      <c r="J78" s="44">
        <f t="shared" si="5"/>
        <v>2.1262311017907154E-4</v>
      </c>
    </row>
    <row r="79" spans="2:10" x14ac:dyDescent="0.25">
      <c r="B79">
        <v>75</v>
      </c>
      <c r="C79" s="8">
        <v>33.33</v>
      </c>
      <c r="D79" s="8">
        <f>4.92+3.56+3.18+0.36+0.11</f>
        <v>12.129999999999999</v>
      </c>
      <c r="E79" s="14">
        <v>1E-4</v>
      </c>
      <c r="F79" s="8">
        <f>154/210</f>
        <v>0.73333333333333328</v>
      </c>
      <c r="G79" s="8">
        <f>126054/246943</f>
        <v>0.51045787894372385</v>
      </c>
      <c r="H79" s="1">
        <f t="shared" si="6"/>
        <v>17.013561105194317</v>
      </c>
      <c r="I79" s="42">
        <f t="shared" si="4"/>
        <v>6.19185407158737</v>
      </c>
      <c r="J79" s="44">
        <f t="shared" si="5"/>
        <v>5.1045787894372388E-5</v>
      </c>
    </row>
    <row r="80" spans="2:10" x14ac:dyDescent="0.25">
      <c r="B80">
        <v>76</v>
      </c>
      <c r="C80" s="8">
        <v>23.34</v>
      </c>
      <c r="D80" s="8">
        <v>60.14</v>
      </c>
      <c r="E80" s="8">
        <f>2.25+1.37+2.04+2.29</f>
        <v>7.95</v>
      </c>
      <c r="F80" s="8">
        <f>59/85</f>
        <v>0.69411764705882351</v>
      </c>
      <c r="G80" s="8">
        <f>727/2649</f>
        <v>0.27444318610796525</v>
      </c>
      <c r="H80" s="1">
        <f t="shared" si="6"/>
        <v>6.4055039637599087</v>
      </c>
      <c r="I80" s="42">
        <f t="shared" si="4"/>
        <v>16.505013212533029</v>
      </c>
      <c r="J80" s="44">
        <f t="shared" si="5"/>
        <v>2.1818233295583238</v>
      </c>
    </row>
    <row r="81" spans="2:10" x14ac:dyDescent="0.25">
      <c r="B81">
        <v>77</v>
      </c>
      <c r="C81" s="1">
        <v>34.549999999999997</v>
      </c>
      <c r="D81" s="1">
        <v>7.2</v>
      </c>
      <c r="E81" s="1">
        <v>0.18</v>
      </c>
      <c r="F81" s="8">
        <f>340/1100</f>
        <v>0.30909090909090908</v>
      </c>
      <c r="G81" s="8">
        <f>890856/184715</f>
        <v>4.8228676609912569</v>
      </c>
      <c r="H81" s="1">
        <f t="shared" si="6"/>
        <v>166.6300776872479</v>
      </c>
      <c r="I81" s="42">
        <f t="shared" si="4"/>
        <v>34.724647159137049</v>
      </c>
      <c r="J81" s="44">
        <f t="shared" si="5"/>
        <v>0.86811617897842619</v>
      </c>
    </row>
    <row r="82" spans="2:10" x14ac:dyDescent="0.25">
      <c r="B82">
        <v>78</v>
      </c>
      <c r="C82" s="8">
        <v>92.47</v>
      </c>
      <c r="D82" s="8">
        <v>7.32</v>
      </c>
      <c r="E82" s="15">
        <v>1.0000000000000001E-5</v>
      </c>
      <c r="F82" s="8">
        <v>0.45</v>
      </c>
      <c r="G82" s="8">
        <f>157315/43575</f>
        <v>3.610212277682157</v>
      </c>
      <c r="H82" s="1">
        <f t="shared" si="6"/>
        <v>333.83632931726908</v>
      </c>
      <c r="I82" s="42">
        <f t="shared" si="4"/>
        <v>26.426753872633391</v>
      </c>
      <c r="J82" s="44">
        <f t="shared" si="5"/>
        <v>3.6102122776821574E-5</v>
      </c>
    </row>
    <row r="83" spans="2:10" x14ac:dyDescent="0.25">
      <c r="B83">
        <v>79</v>
      </c>
      <c r="C83" s="8">
        <v>80.290000000000006</v>
      </c>
      <c r="D83" s="8">
        <v>16.350000000000001</v>
      </c>
      <c r="E83" s="13">
        <v>2.1000000000000001E-2</v>
      </c>
      <c r="F83" s="8">
        <v>0.5</v>
      </c>
      <c r="G83" s="8">
        <f>83998/79138</f>
        <v>1.0614117111880512</v>
      </c>
      <c r="H83" s="1">
        <f t="shared" si="6"/>
        <v>85.220746291288634</v>
      </c>
      <c r="I83" s="42">
        <f t="shared" si="4"/>
        <v>17.354081477924638</v>
      </c>
      <c r="J83" s="44">
        <f t="shared" si="5"/>
        <v>2.2289645934949077E-2</v>
      </c>
    </row>
    <row r="84" spans="2:10" x14ac:dyDescent="0.25">
      <c r="B84">
        <v>80</v>
      </c>
      <c r="C84" s="8">
        <v>8.6300000000000008</v>
      </c>
      <c r="D84" s="8">
        <v>6.36</v>
      </c>
      <c r="E84" s="8">
        <v>25.23</v>
      </c>
      <c r="F84" s="8">
        <f>30/92</f>
        <v>0.32608695652173914</v>
      </c>
      <c r="G84" s="8">
        <f>8506032/11271468</f>
        <v>0.7546516567318472</v>
      </c>
      <c r="H84" s="1">
        <f t="shared" si="6"/>
        <v>6.5126437975958416</v>
      </c>
      <c r="I84" s="42">
        <f t="shared" si="4"/>
        <v>4.7995845368145487</v>
      </c>
      <c r="J84" s="44">
        <f t="shared" si="5"/>
        <v>19.039861299344505</v>
      </c>
    </row>
    <row r="85" spans="2:10" x14ac:dyDescent="0.25">
      <c r="B85">
        <v>81</v>
      </c>
      <c r="C85" s="8">
        <v>18.53</v>
      </c>
      <c r="D85" s="8">
        <f>81.47-60-6.74</f>
        <v>14.729999999999999</v>
      </c>
      <c r="E85" s="14">
        <v>2.9999999999999997E-4</v>
      </c>
      <c r="F85" s="8">
        <f>206/176</f>
        <v>1.1704545454545454</v>
      </c>
      <c r="G85" s="8">
        <f>746236/112872</f>
        <v>6.6113473669289107</v>
      </c>
      <c r="H85" s="1">
        <f t="shared" si="6"/>
        <v>122.50826670919272</v>
      </c>
      <c r="I85" s="42">
        <f t="shared" si="4"/>
        <v>97.385146714862842</v>
      </c>
      <c r="J85" s="44">
        <f t="shared" si="5"/>
        <v>1.983404210078673E-3</v>
      </c>
    </row>
    <row r="86" spans="2:10" x14ac:dyDescent="0.25">
      <c r="B86">
        <v>82</v>
      </c>
      <c r="C86" s="15">
        <v>7.6E-3</v>
      </c>
      <c r="D86" s="8">
        <v>0.55000000000000004</v>
      </c>
      <c r="E86" s="8">
        <v>0.37</v>
      </c>
      <c r="F86" s="8">
        <v>1.76</v>
      </c>
      <c r="G86" s="8">
        <v>0.51</v>
      </c>
      <c r="H86" s="1">
        <f t="shared" si="6"/>
        <v>3.8760000000000001E-3</v>
      </c>
      <c r="I86" s="42">
        <f t="shared" si="4"/>
        <v>0.28050000000000003</v>
      </c>
      <c r="J86" s="44">
        <f t="shared" si="5"/>
        <v>0.18870000000000001</v>
      </c>
    </row>
    <row r="87" spans="2:10" x14ac:dyDescent="0.25">
      <c r="B87">
        <v>83</v>
      </c>
      <c r="C87" s="15">
        <v>9.3000000000000005E-4</v>
      </c>
      <c r="D87" s="11">
        <v>0.93</v>
      </c>
      <c r="E87" s="16">
        <v>2.5000000000000001E-5</v>
      </c>
      <c r="F87" s="8">
        <v>1.53</v>
      </c>
      <c r="G87" s="8">
        <v>0.42</v>
      </c>
      <c r="H87" s="1">
        <f t="shared" si="6"/>
        <v>3.9060000000000001E-4</v>
      </c>
      <c r="I87" s="42">
        <f t="shared" si="4"/>
        <v>0.3906</v>
      </c>
      <c r="J87" s="44">
        <f t="shared" si="5"/>
        <v>1.0499999999999999E-5</v>
      </c>
    </row>
    <row r="88" spans="2:10" x14ac:dyDescent="0.25">
      <c r="B88">
        <v>84</v>
      </c>
      <c r="C88" s="15">
        <v>3.8000000000000002E-4</v>
      </c>
      <c r="D88" s="8">
        <v>0.93</v>
      </c>
      <c r="E88" s="14">
        <v>2.8E-3</v>
      </c>
      <c r="F88" s="8">
        <v>0.45</v>
      </c>
      <c r="G88" s="8">
        <v>0.23</v>
      </c>
      <c r="H88" s="1">
        <f t="shared" si="6"/>
        <v>8.740000000000001E-5</v>
      </c>
      <c r="I88" s="42">
        <f t="shared" si="4"/>
        <v>0.21390000000000001</v>
      </c>
      <c r="J88" s="44">
        <f t="shared" si="5"/>
        <v>6.4400000000000004E-4</v>
      </c>
    </row>
    <row r="89" spans="2:10" x14ac:dyDescent="0.25">
      <c r="B89">
        <v>85</v>
      </c>
      <c r="C89" s="15">
        <v>6.2E-4</v>
      </c>
      <c r="D89" s="8">
        <v>0.87</v>
      </c>
      <c r="E89" s="8">
        <v>0.77</v>
      </c>
      <c r="F89" s="8" t="s">
        <v>53</v>
      </c>
      <c r="G89" s="8">
        <v>0.46</v>
      </c>
      <c r="H89" s="1">
        <f t="shared" si="6"/>
        <v>2.8519999999999999E-4</v>
      </c>
      <c r="I89" s="42">
        <f t="shared" si="4"/>
        <v>0.4002</v>
      </c>
      <c r="J89" s="44">
        <f t="shared" si="5"/>
        <v>0.35420000000000001</v>
      </c>
    </row>
    <row r="90" spans="2:10" x14ac:dyDescent="0.25">
      <c r="B90">
        <v>86</v>
      </c>
      <c r="C90" s="15">
        <v>1.8000000000000001E-4</v>
      </c>
      <c r="D90" s="8">
        <v>1</v>
      </c>
      <c r="E90" s="15">
        <v>5.8E-4</v>
      </c>
      <c r="F90" s="8">
        <v>0.28999999999999998</v>
      </c>
      <c r="G90" s="8">
        <v>0.73</v>
      </c>
      <c r="H90" s="1">
        <f t="shared" si="6"/>
        <v>1.314E-4</v>
      </c>
      <c r="I90" s="42">
        <f t="shared" si="4"/>
        <v>0.73</v>
      </c>
      <c r="J90" s="44">
        <f t="shared" si="5"/>
        <v>4.2339999999999999E-4</v>
      </c>
    </row>
    <row r="91" spans="2:10" x14ac:dyDescent="0.25">
      <c r="B91">
        <v>87</v>
      </c>
      <c r="C91" s="15">
        <v>2.5799999999999998E-3</v>
      </c>
      <c r="D91" s="8">
        <v>0.93</v>
      </c>
      <c r="E91" s="15">
        <v>6.62E-3</v>
      </c>
      <c r="F91" s="8">
        <v>0.62</v>
      </c>
      <c r="G91" s="8">
        <v>0.77</v>
      </c>
      <c r="H91" s="1">
        <f t="shared" si="6"/>
        <v>1.9865999999999998E-3</v>
      </c>
      <c r="I91" s="42">
        <f t="shared" si="4"/>
        <v>0.71610000000000007</v>
      </c>
      <c r="J91" s="44">
        <f t="shared" si="5"/>
        <v>5.0974000000000002E-3</v>
      </c>
    </row>
    <row r="92" spans="2:10" x14ac:dyDescent="0.25">
      <c r="B92">
        <v>88</v>
      </c>
      <c r="C92" s="15">
        <v>1.6000000000000001E-4</v>
      </c>
      <c r="D92" s="8">
        <v>0.74</v>
      </c>
      <c r="E92" s="15">
        <v>3.4999999999999997E-5</v>
      </c>
      <c r="F92" s="8">
        <v>0.4</v>
      </c>
      <c r="G92" s="8">
        <v>0.57999999999999996</v>
      </c>
      <c r="H92" s="1">
        <f t="shared" si="6"/>
        <v>9.2800000000000006E-5</v>
      </c>
      <c r="I92" s="42">
        <f t="shared" si="4"/>
        <v>0.42919999999999997</v>
      </c>
      <c r="J92" s="44">
        <f t="shared" si="5"/>
        <v>2.0299999999999995E-5</v>
      </c>
    </row>
    <row r="93" spans="2:10" x14ac:dyDescent="0.25">
      <c r="B93">
        <v>89</v>
      </c>
      <c r="C93" s="15">
        <v>3.4000000000000002E-4</v>
      </c>
      <c r="D93" s="8">
        <v>0.74</v>
      </c>
      <c r="E93" s="15">
        <v>1.2999999999999999E-5</v>
      </c>
      <c r="F93" s="8">
        <v>1</v>
      </c>
      <c r="G93" s="8">
        <v>1.55</v>
      </c>
      <c r="H93" s="1">
        <f t="shared" si="6"/>
        <v>5.2700000000000002E-4</v>
      </c>
      <c r="I93" s="42">
        <f t="shared" si="4"/>
        <v>1.147</v>
      </c>
      <c r="J93" s="44">
        <f t="shared" si="5"/>
        <v>2.0149999999999999E-5</v>
      </c>
    </row>
    <row r="94" spans="2:10" x14ac:dyDescent="0.25">
      <c r="B94">
        <v>90</v>
      </c>
      <c r="C94" s="15">
        <v>1.15E-4</v>
      </c>
      <c r="D94" s="8">
        <v>0.98</v>
      </c>
      <c r="E94" s="15">
        <v>1.98E-3</v>
      </c>
      <c r="F94" s="8">
        <v>0.6</v>
      </c>
      <c r="G94" s="8">
        <v>6.39</v>
      </c>
      <c r="H94" s="1">
        <f t="shared" si="6"/>
        <v>7.3485E-4</v>
      </c>
      <c r="I94" s="42">
        <f t="shared" si="4"/>
        <v>6.2622</v>
      </c>
      <c r="J94" s="44">
        <f t="shared" si="5"/>
        <v>1.2652199999999999E-2</v>
      </c>
    </row>
    <row r="95" spans="2:10" x14ac:dyDescent="0.25">
      <c r="B95">
        <v>91</v>
      </c>
      <c r="C95" s="15">
        <v>1.2E-4</v>
      </c>
      <c r="D95" s="8">
        <v>0.98</v>
      </c>
      <c r="E95" s="15">
        <v>2.5000000000000001E-4</v>
      </c>
      <c r="F95" s="8">
        <v>0.6</v>
      </c>
      <c r="G95" s="8">
        <v>5.94</v>
      </c>
      <c r="H95" s="1">
        <f t="shared" si="6"/>
        <v>7.1280000000000009E-4</v>
      </c>
      <c r="I95" s="42">
        <f t="shared" si="4"/>
        <v>5.8212000000000002</v>
      </c>
      <c r="J95" s="44">
        <f t="shared" si="5"/>
        <v>1.4850000000000002E-3</v>
      </c>
    </row>
    <row r="96" spans="2:10" x14ac:dyDescent="0.25">
      <c r="B96">
        <v>92</v>
      </c>
      <c r="C96" s="15">
        <v>7.4291999999999997E-2</v>
      </c>
      <c r="D96" s="8">
        <v>0.78</v>
      </c>
      <c r="E96" s="15">
        <v>4.15E-4</v>
      </c>
      <c r="F96" s="8">
        <v>0.33</v>
      </c>
      <c r="G96" s="8">
        <v>0.46</v>
      </c>
      <c r="H96" s="1">
        <f t="shared" si="6"/>
        <v>3.4174320000000001E-2</v>
      </c>
      <c r="I96" s="42">
        <f t="shared" si="4"/>
        <v>0.35880000000000001</v>
      </c>
      <c r="J96" s="44">
        <f t="shared" si="5"/>
        <v>1.9090000000000001E-4</v>
      </c>
    </row>
    <row r="97" spans="2:10" x14ac:dyDescent="0.25">
      <c r="B97">
        <v>93</v>
      </c>
      <c r="C97" s="8">
        <v>12.66</v>
      </c>
      <c r="D97" s="8">
        <f>20.21-11.43</f>
        <v>8.7800000000000011</v>
      </c>
      <c r="E97" s="8">
        <v>1.88</v>
      </c>
      <c r="F97" s="8">
        <f>10/32</f>
        <v>0.3125</v>
      </c>
      <c r="G97" s="8">
        <f>1749896/1139164</f>
        <v>1.5361229814144408</v>
      </c>
      <c r="H97" s="1">
        <f t="shared" si="6"/>
        <v>19.44731694470682</v>
      </c>
      <c r="I97" s="42">
        <f t="shared" si="4"/>
        <v>13.487159776818793</v>
      </c>
      <c r="J97" s="44">
        <f t="shared" si="5"/>
        <v>2.8879112050591487</v>
      </c>
    </row>
    <row r="98" spans="2:10" x14ac:dyDescent="0.25">
      <c r="B98">
        <v>94</v>
      </c>
      <c r="C98" s="8">
        <v>80.06</v>
      </c>
      <c r="D98" s="8">
        <v>8.17</v>
      </c>
      <c r="E98" s="8">
        <v>0.03</v>
      </c>
      <c r="F98" s="8">
        <v>0.17</v>
      </c>
      <c r="G98" s="8">
        <f>30782968/7270971</f>
        <v>4.2336804809151349</v>
      </c>
      <c r="H98" s="1">
        <f t="shared" si="6"/>
        <v>338.94845930206571</v>
      </c>
      <c r="I98" s="42">
        <f t="shared" si="4"/>
        <v>34.589169529076649</v>
      </c>
      <c r="J98" s="44">
        <f t="shared" si="5"/>
        <v>0.12701041442745403</v>
      </c>
    </row>
    <row r="99" spans="2:10" x14ac:dyDescent="0.25">
      <c r="B99">
        <v>95</v>
      </c>
      <c r="C99" s="30">
        <v>0.01</v>
      </c>
      <c r="D99" s="27">
        <v>98.26</v>
      </c>
      <c r="E99" s="28">
        <v>2.0000000000000001E-4</v>
      </c>
      <c r="F99" s="27">
        <v>0.99</v>
      </c>
      <c r="G99" s="27">
        <f>15597/4937</f>
        <v>3.1592059955438527</v>
      </c>
      <c r="H99" s="1">
        <f t="shared" si="6"/>
        <v>3.1592059955438526E-2</v>
      </c>
      <c r="I99" s="42">
        <f t="shared" si="4"/>
        <v>310.42358112213901</v>
      </c>
      <c r="J99" s="44">
        <f t="shared" si="5"/>
        <v>6.3184119910877055E-4</v>
      </c>
    </row>
    <row r="100" spans="2:10" x14ac:dyDescent="0.25">
      <c r="B100">
        <v>96</v>
      </c>
      <c r="C100" s="32">
        <v>4.32</v>
      </c>
      <c r="D100" s="32">
        <v>93.35</v>
      </c>
      <c r="E100" s="32">
        <v>2.4</v>
      </c>
      <c r="F100" s="32">
        <f>107/145</f>
        <v>0.73793103448275865</v>
      </c>
      <c r="G100" s="32">
        <f>660424729/1326287143</f>
        <v>0.49795003479122169</v>
      </c>
      <c r="H100" s="1">
        <f t="shared" si="6"/>
        <v>2.1511441502980779</v>
      </c>
      <c r="I100" s="42">
        <f t="shared" si="4"/>
        <v>46.483635747760545</v>
      </c>
      <c r="J100" s="44">
        <f t="shared" si="5"/>
        <v>1.1950800834989319</v>
      </c>
    </row>
    <row r="101" spans="2:10" x14ac:dyDescent="0.25">
      <c r="B101">
        <v>97</v>
      </c>
      <c r="C101" s="8">
        <v>5.03</v>
      </c>
      <c r="D101" s="8">
        <v>81.5</v>
      </c>
      <c r="E101" s="8">
        <f>0.02+0.06+0.05+0.28+0.2</f>
        <v>0.6100000000000001</v>
      </c>
      <c r="F101" s="8">
        <v>0.2</v>
      </c>
      <c r="G101" s="8">
        <f>1882248/2683067</f>
        <v>0.70152851196037969</v>
      </c>
      <c r="H101" s="1">
        <f t="shared" si="6"/>
        <v>3.5286884151607101</v>
      </c>
      <c r="I101" s="42">
        <f t="shared" si="4"/>
        <v>57.174573724770944</v>
      </c>
      <c r="J101" s="44">
        <f t="shared" si="5"/>
        <v>0.42793239229583169</v>
      </c>
    </row>
    <row r="102" spans="2:10" x14ac:dyDescent="0.25">
      <c r="B102">
        <v>98</v>
      </c>
      <c r="C102" s="8">
        <v>33.619999999999997</v>
      </c>
      <c r="D102" s="8">
        <v>5.38</v>
      </c>
      <c r="E102" s="15">
        <v>1.0000000000000001E-5</v>
      </c>
      <c r="F102" s="8">
        <v>0.3</v>
      </c>
      <c r="G102" s="8">
        <f>2024.8/5222.2</f>
        <v>0.38772930948642337</v>
      </c>
      <c r="H102" s="1">
        <f t="shared" si="6"/>
        <v>13.035459384933553</v>
      </c>
      <c r="I102" s="42">
        <f t="shared" si="4"/>
        <v>2.0859836850369575</v>
      </c>
      <c r="J102" s="44">
        <f t="shared" si="5"/>
        <v>3.8772930948642343E-6</v>
      </c>
    </row>
    <row r="103" spans="2:10" x14ac:dyDescent="0.25">
      <c r="B103">
        <v>99</v>
      </c>
      <c r="C103" s="8">
        <f>62.33+4.99+4.2+3.5+3.25+3.24+1.81+1</f>
        <v>84.32</v>
      </c>
      <c r="D103" s="8">
        <f>3.22+2.87+1.53+0.14+0.02+0.02+0.02</f>
        <v>7.8199999999999985</v>
      </c>
      <c r="E103" s="8">
        <f>4.51+2.59+0.48+0.04</f>
        <v>7.62</v>
      </c>
      <c r="F103" s="8">
        <v>0.43</v>
      </c>
      <c r="G103" s="8">
        <f>1090546/1387236</f>
        <v>0.78612867601475167</v>
      </c>
      <c r="H103" s="1">
        <f t="shared" si="6"/>
        <v>66.28636996156385</v>
      </c>
      <c r="I103" s="42">
        <f t="shared" si="4"/>
        <v>6.1475262464353566</v>
      </c>
      <c r="J103" s="44">
        <f t="shared" si="5"/>
        <v>5.9903005112324079</v>
      </c>
    </row>
    <row r="104" spans="2:10" x14ac:dyDescent="0.25">
      <c r="B104">
        <v>100</v>
      </c>
      <c r="C104" s="8">
        <v>17.25</v>
      </c>
      <c r="D104" s="8">
        <f>60.33+0.58+0.13+0.01</f>
        <v>61.05</v>
      </c>
      <c r="E104" s="8">
        <f>3.29+2.54+0.25+6.18+0.05+0.03</f>
        <v>12.34</v>
      </c>
      <c r="F104" s="8">
        <v>0.4</v>
      </c>
      <c r="G104" s="8">
        <f>2430/3952</f>
        <v>0.61487854251012142</v>
      </c>
      <c r="H104" s="1">
        <f t="shared" si="6"/>
        <v>10.606654858299594</v>
      </c>
      <c r="I104" s="42">
        <f t="shared" si="4"/>
        <v>37.538335020242911</v>
      </c>
      <c r="J104" s="44">
        <f t="shared" si="5"/>
        <v>7.5876012145748986</v>
      </c>
    </row>
    <row r="105" spans="2:10" x14ac:dyDescent="0.25">
      <c r="B105">
        <v>101</v>
      </c>
      <c r="C105" s="8">
        <v>35.229999999999997</v>
      </c>
      <c r="D105" s="8">
        <v>52.55</v>
      </c>
      <c r="E105" s="8">
        <f>0.64+0.47+0.46</f>
        <v>1.5699999999999998</v>
      </c>
      <c r="F105" s="8">
        <v>14.49</v>
      </c>
      <c r="G105" s="8">
        <f>14179604/5294763</f>
        <v>2.678043190979464</v>
      </c>
      <c r="H105" s="1">
        <f t="shared" si="6"/>
        <v>94.347461618206509</v>
      </c>
      <c r="I105" s="42">
        <f t="shared" si="4"/>
        <v>140.73116968597083</v>
      </c>
      <c r="J105" s="44">
        <f t="shared" si="5"/>
        <v>4.2045278098377583</v>
      </c>
    </row>
    <row r="106" spans="2:10" x14ac:dyDescent="0.25">
      <c r="B106">
        <v>102</v>
      </c>
      <c r="C106" s="32">
        <v>1.28</v>
      </c>
      <c r="D106" s="32">
        <v>94.97</v>
      </c>
      <c r="E106" s="33">
        <v>1E-4</v>
      </c>
      <c r="F106" s="32">
        <v>1.01</v>
      </c>
      <c r="G106" s="32">
        <f>19433/30241</f>
        <v>0.6426044112297874</v>
      </c>
      <c r="H106" s="1">
        <f t="shared" si="6"/>
        <v>0.82253364637412785</v>
      </c>
      <c r="I106" s="42">
        <f t="shared" si="4"/>
        <v>61.02814093449291</v>
      </c>
      <c r="J106" s="44">
        <f t="shared" si="5"/>
        <v>6.4260441122978746E-5</v>
      </c>
    </row>
    <row r="107" spans="2:10" x14ac:dyDescent="0.25">
      <c r="B107">
        <v>103</v>
      </c>
      <c r="C107" s="12">
        <v>2.742</v>
      </c>
      <c r="D107" s="32">
        <v>67.209999999999994</v>
      </c>
      <c r="E107" s="38">
        <v>8.0000000000000002E-3</v>
      </c>
      <c r="F107" s="32">
        <v>0.56000000000000005</v>
      </c>
      <c r="G107" s="32">
        <f>1596/1369</f>
        <v>1.1658144631117604</v>
      </c>
      <c r="H107" s="1">
        <f t="shared" si="6"/>
        <v>3.196663257852447</v>
      </c>
      <c r="I107" s="42">
        <f t="shared" si="4"/>
        <v>78.354390065741413</v>
      </c>
      <c r="J107" s="44">
        <f t="shared" si="5"/>
        <v>9.3265157048940828E-3</v>
      </c>
    </row>
    <row r="108" spans="2:10" x14ac:dyDescent="0.25">
      <c r="B108">
        <v>104</v>
      </c>
      <c r="C108" s="32">
        <v>0.86</v>
      </c>
      <c r="D108" s="32">
        <f>5.1+36.56+30.57+25.34</f>
        <v>97.570000000000007</v>
      </c>
      <c r="E108" s="38">
        <v>2.3E-2</v>
      </c>
      <c r="F108" s="32">
        <f>320/715</f>
        <v>0.44755244755244755</v>
      </c>
      <c r="G108" s="32">
        <f>1763284/3361956</f>
        <v>0.52448158155549929</v>
      </c>
      <c r="H108" s="1">
        <f t="shared" si="6"/>
        <v>0.45105416013772937</v>
      </c>
      <c r="I108" s="42">
        <f t="shared" si="4"/>
        <v>51.173667912370071</v>
      </c>
      <c r="J108" s="44">
        <f t="shared" si="5"/>
        <v>1.2063076375776484E-2</v>
      </c>
    </row>
    <row r="109" spans="2:10" x14ac:dyDescent="0.25">
      <c r="B109">
        <v>105</v>
      </c>
      <c r="C109" s="8">
        <f>78.89+0.1</f>
        <v>78.989999999999995</v>
      </c>
      <c r="D109" s="8">
        <v>4.79</v>
      </c>
      <c r="E109" s="8">
        <v>0.12</v>
      </c>
      <c r="F109" s="8">
        <v>0.76</v>
      </c>
      <c r="G109" s="8">
        <f>312339/846290</f>
        <v>0.3690685226104527</v>
      </c>
      <c r="H109" s="1">
        <f t="shared" si="6"/>
        <v>29.152722600999656</v>
      </c>
      <c r="I109" s="42">
        <f t="shared" si="4"/>
        <v>1.7678382233040684</v>
      </c>
      <c r="J109" s="44">
        <f t="shared" si="5"/>
        <v>4.4288222713254319E-2</v>
      </c>
    </row>
    <row r="110" spans="2:10" x14ac:dyDescent="0.25">
      <c r="B110">
        <v>106</v>
      </c>
      <c r="C110" s="1">
        <v>0.1</v>
      </c>
      <c r="D110" s="1">
        <v>0.11</v>
      </c>
      <c r="E110" s="1">
        <v>0.62</v>
      </c>
      <c r="F110" s="1">
        <v>0.26</v>
      </c>
      <c r="G110" s="1">
        <v>2.0099999999999998</v>
      </c>
      <c r="H110" s="1">
        <f t="shared" si="6"/>
        <v>0.20099999999999998</v>
      </c>
      <c r="I110" s="42">
        <f t="shared" si="4"/>
        <v>0.22109999999999999</v>
      </c>
      <c r="J110" s="44">
        <f t="shared" si="5"/>
        <v>1.2461999999999998</v>
      </c>
    </row>
    <row r="111" spans="2:10" x14ac:dyDescent="0.25">
      <c r="B111">
        <v>107</v>
      </c>
      <c r="C111" s="1">
        <v>5.0000000000000001E-3</v>
      </c>
      <c r="D111" s="1">
        <v>0.72</v>
      </c>
      <c r="E111" s="1">
        <v>5.0000000000000001E-3</v>
      </c>
      <c r="F111" s="1">
        <v>0.54</v>
      </c>
      <c r="G111" s="1">
        <v>1.37</v>
      </c>
      <c r="H111" s="1">
        <f t="shared" si="6"/>
        <v>6.8500000000000011E-3</v>
      </c>
      <c r="I111" s="42">
        <f t="shared" si="4"/>
        <v>0.98640000000000005</v>
      </c>
      <c r="J111" s="44">
        <f t="shared" si="5"/>
        <v>6.8500000000000011E-3</v>
      </c>
    </row>
    <row r="112" spans="2:10" x14ac:dyDescent="0.25">
      <c r="B112">
        <v>108</v>
      </c>
      <c r="C112" s="1">
        <v>0.14000000000000001</v>
      </c>
      <c r="D112" s="1">
        <v>0.71</v>
      </c>
      <c r="E112" s="1">
        <v>0.12</v>
      </c>
      <c r="F112" s="1">
        <v>1.35</v>
      </c>
      <c r="G112" s="1">
        <v>1.03</v>
      </c>
      <c r="H112" s="1">
        <f t="shared" si="6"/>
        <v>0.14420000000000002</v>
      </c>
      <c r="I112" s="42">
        <f t="shared" si="4"/>
        <v>0.73129999999999995</v>
      </c>
      <c r="J112" s="44">
        <f t="shared" si="5"/>
        <v>0.1236</v>
      </c>
    </row>
  </sheetData>
  <pageMargins left="0.7" right="0.7" top="0.75" bottom="0.75" header="0.3" footer="0.3"/>
  <pageSetup orientation="portrait" horizontalDpi="3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Sheet4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2022-06-09T09:36:59Z</dcterms:created>
  <dcterms:modified xsi:type="dcterms:W3CDTF">2022-06-23T02:01:01Z</dcterms:modified>
</cp:coreProperties>
</file>